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pivotTables/pivotTable3.xml" ContentType="application/vnd.openxmlformats-officedocument.spreadsheetml.pivot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emma_evans_defra_gov_uk/Documents/Misc/Personal/EGCA CC_Rep Work/"/>
    </mc:Choice>
  </mc:AlternateContent>
  <xr:revisionPtr revIDLastSave="832" documentId="8_{020CAA20-5D9C-40EF-AE02-72BEC78EE574}" xr6:coauthVersionLast="47" xr6:coauthVersionMax="47" xr10:uidLastSave="{CA2AD875-3965-4B56-8167-9C041E6A1C44}"/>
  <workbookProtection workbookAlgorithmName="SHA-512" workbookHashValue="H8zglSg289NFGU8uTlII7PFIwVbX5aVxxkap7k/pn1vuoKnWhv7/g3axNcr9MdVE1NVe9nhUwJb4I/lWhSlZ9g==" workbookSaltValue="7LsrKgXtssBzoSNUpWKUbQ==" workbookSpinCount="100000" lockStructure="1"/>
  <bookViews>
    <workbookView xWindow="28680" yWindow="-120" windowWidth="29040" windowHeight="17520" tabRatio="807" activeTab="1" xr2:uid="{892F44C2-D07C-4B1E-9902-C5D517C7F9F6}"/>
  </bookViews>
  <sheets>
    <sheet name="1. Points System" sheetId="5" r:id="rId1"/>
    <sheet name="2. 2027 Season Ranking" sheetId="8" r:id="rId2"/>
    <sheet name="3. Points Awarded By Team" sheetId="4" r:id="rId3"/>
    <sheet name="Scoring_Goal Difference" sheetId="15" state="hidden" r:id="rId4"/>
    <sheet name="Naming Conventions" sheetId="17" state="hidden" r:id="rId5"/>
    <sheet name="4. Master Data" sheetId="2" state="hidden" r:id="rId6"/>
    <sheet name="Tasks" sheetId="16" state="hidden" r:id="rId7"/>
    <sheet name="Drop Down Lists" sheetId="6" state="hidden" r:id="rId8"/>
  </sheets>
  <definedNames>
    <definedName name="_xlnm._FilterDatabase" localSheetId="5" hidden="1">'4. Master Data'!$A$2:$T$205</definedName>
    <definedName name="_xlnm._FilterDatabase" localSheetId="4" hidden="1">'Naming Conventions'!$B$2:$B$36</definedName>
  </definedNames>
  <calcPr calcId="191029"/>
  <pivotCaches>
    <pivotCache cacheId="0" r:id="rId9"/>
    <pivotCache cacheId="16" r:id="rId10"/>
    <pivotCache cacheId="38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69" i="8" l="1"/>
  <c r="I69" i="8"/>
  <c r="H69" i="8"/>
  <c r="G69" i="8"/>
  <c r="F69" i="8"/>
  <c r="E69" i="8"/>
  <c r="D69" i="8"/>
  <c r="C69" i="8"/>
  <c r="B69" i="8"/>
  <c r="J67" i="8"/>
  <c r="I67" i="8"/>
  <c r="H67" i="8"/>
  <c r="G67" i="8"/>
  <c r="F67" i="8"/>
  <c r="E67" i="8"/>
  <c r="D67" i="8"/>
  <c r="C67" i="8"/>
  <c r="B67" i="8"/>
  <c r="J65" i="8"/>
  <c r="I65" i="8"/>
  <c r="H65" i="8"/>
  <c r="G65" i="8"/>
  <c r="F65" i="8"/>
  <c r="E65" i="8"/>
  <c r="D65" i="8"/>
  <c r="C65" i="8"/>
  <c r="B65" i="8"/>
  <c r="J64" i="8"/>
  <c r="I64" i="8"/>
  <c r="H64" i="8"/>
  <c r="G64" i="8"/>
  <c r="F64" i="8"/>
  <c r="E64" i="8"/>
  <c r="D64" i="8"/>
  <c r="C64" i="8"/>
  <c r="B64" i="8"/>
  <c r="J63" i="8"/>
  <c r="I63" i="8"/>
  <c r="H63" i="8"/>
  <c r="G63" i="8"/>
  <c r="F63" i="8"/>
  <c r="E63" i="8"/>
  <c r="D63" i="8"/>
  <c r="C63" i="8"/>
  <c r="B63" i="8"/>
  <c r="J62" i="8"/>
  <c r="I62" i="8"/>
  <c r="H62" i="8"/>
  <c r="G62" i="8"/>
  <c r="F62" i="8"/>
  <c r="E62" i="8"/>
  <c r="D62" i="8"/>
  <c r="C62" i="8"/>
  <c r="B62" i="8"/>
  <c r="J61" i="8"/>
  <c r="I61" i="8"/>
  <c r="H61" i="8"/>
  <c r="G61" i="8"/>
  <c r="F61" i="8"/>
  <c r="E61" i="8"/>
  <c r="D61" i="8"/>
  <c r="C61" i="8"/>
  <c r="B61" i="8"/>
  <c r="J60" i="8"/>
  <c r="I60" i="8"/>
  <c r="H60" i="8"/>
  <c r="G60" i="8"/>
  <c r="F60" i="8"/>
  <c r="E60" i="8"/>
  <c r="D60" i="8"/>
  <c r="C60" i="8"/>
  <c r="B60" i="8"/>
  <c r="J59" i="8"/>
  <c r="I59" i="8"/>
  <c r="H59" i="8"/>
  <c r="G59" i="8"/>
  <c r="F59" i="8"/>
  <c r="E59" i="8"/>
  <c r="D59" i="8"/>
  <c r="C59" i="8"/>
  <c r="B59" i="8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J101" i="2" l="1" a="1"/>
  <c r="J101" i="2" s="1"/>
  <c r="M101" i="2"/>
  <c r="J102" i="2" a="1"/>
  <c r="J102" i="2" s="1"/>
  <c r="M102" i="2"/>
  <c r="J103" i="2" a="1"/>
  <c r="J103" i="2" s="1"/>
  <c r="M103" i="2"/>
  <c r="J104" i="2" a="1"/>
  <c r="J104" i="2" s="1"/>
  <c r="M104" i="2"/>
  <c r="J105" i="2" a="1"/>
  <c r="J105" i="2" s="1"/>
  <c r="M105" i="2"/>
  <c r="J106" i="2" a="1"/>
  <c r="J106" i="2" s="1"/>
  <c r="M106" i="2"/>
  <c r="J107" i="2" a="1"/>
  <c r="J107" i="2" s="1"/>
  <c r="M107" i="2"/>
  <c r="J108" i="2" a="1"/>
  <c r="J108" i="2" s="1"/>
  <c r="M108" i="2"/>
  <c r="F109" i="2"/>
  <c r="G109" i="2"/>
  <c r="F110" i="2"/>
  <c r="G110" i="2"/>
  <c r="F111" i="2"/>
  <c r="G111" i="2"/>
  <c r="F112" i="2"/>
  <c r="G112" i="2"/>
  <c r="F113" i="2"/>
  <c r="G113" i="2"/>
  <c r="F114" i="2"/>
  <c r="G114" i="2"/>
  <c r="F115" i="2"/>
  <c r="G115" i="2"/>
  <c r="F116" i="2"/>
  <c r="G116" i="2"/>
  <c r="F117" i="2"/>
  <c r="G117" i="2"/>
  <c r="F118" i="2"/>
  <c r="G118" i="2"/>
  <c r="F119" i="2"/>
  <c r="G119" i="2"/>
  <c r="F120" i="2"/>
  <c r="G120" i="2"/>
  <c r="F121" i="2"/>
  <c r="G121" i="2"/>
  <c r="F122" i="2"/>
  <c r="G122" i="2"/>
  <c r="F123" i="2"/>
  <c r="G123" i="2"/>
  <c r="F124" i="2"/>
  <c r="G124" i="2"/>
  <c r="F125" i="2"/>
  <c r="G125" i="2"/>
  <c r="F126" i="2"/>
  <c r="G126" i="2"/>
  <c r="F127" i="2"/>
  <c r="G127" i="2"/>
  <c r="F128" i="2"/>
  <c r="G128" i="2"/>
  <c r="F129" i="2"/>
  <c r="G129" i="2"/>
  <c r="F130" i="2"/>
  <c r="G130" i="2"/>
  <c r="F131" i="2"/>
  <c r="G131" i="2"/>
  <c r="F132" i="2"/>
  <c r="G132" i="2"/>
  <c r="F133" i="2"/>
  <c r="G133" i="2"/>
  <c r="F134" i="2"/>
  <c r="G134" i="2"/>
  <c r="F135" i="2"/>
  <c r="G135" i="2"/>
  <c r="F136" i="2"/>
  <c r="G136" i="2"/>
  <c r="F137" i="2"/>
  <c r="G137" i="2"/>
  <c r="F138" i="2"/>
  <c r="G138" i="2"/>
  <c r="F139" i="2"/>
  <c r="G139" i="2"/>
  <c r="F140" i="2"/>
  <c r="G140" i="2"/>
  <c r="F141" i="2"/>
  <c r="G141" i="2"/>
  <c r="F142" i="2"/>
  <c r="G142" i="2"/>
  <c r="F143" i="2"/>
  <c r="G143" i="2"/>
  <c r="F144" i="2"/>
  <c r="G144" i="2"/>
  <c r="F145" i="2"/>
  <c r="G145" i="2"/>
  <c r="F146" i="2"/>
  <c r="G146" i="2"/>
  <c r="F147" i="2"/>
  <c r="G147" i="2"/>
  <c r="F148" i="2"/>
  <c r="G148" i="2"/>
  <c r="F149" i="2"/>
  <c r="G149" i="2"/>
  <c r="F150" i="2"/>
  <c r="G150" i="2"/>
  <c r="F151" i="2"/>
  <c r="G151" i="2"/>
  <c r="F152" i="2"/>
  <c r="G152" i="2"/>
  <c r="F153" i="2"/>
  <c r="G153" i="2"/>
  <c r="F154" i="2"/>
  <c r="G154" i="2"/>
  <c r="F155" i="2"/>
  <c r="G155" i="2"/>
  <c r="F156" i="2"/>
  <c r="G156" i="2"/>
  <c r="F157" i="2"/>
  <c r="G157" i="2"/>
  <c r="F158" i="2"/>
  <c r="G158" i="2"/>
  <c r="F159" i="2"/>
  <c r="G159" i="2"/>
  <c r="F160" i="2"/>
  <c r="G160" i="2"/>
  <c r="F161" i="2"/>
  <c r="G161" i="2"/>
  <c r="F162" i="2"/>
  <c r="G162" i="2"/>
  <c r="F163" i="2"/>
  <c r="G163" i="2"/>
  <c r="F164" i="2"/>
  <c r="G164" i="2"/>
  <c r="F165" i="2"/>
  <c r="G165" i="2"/>
  <c r="F166" i="2"/>
  <c r="G166" i="2"/>
  <c r="F167" i="2"/>
  <c r="G167" i="2"/>
  <c r="F168" i="2"/>
  <c r="G168" i="2"/>
  <c r="F169" i="2"/>
  <c r="G169" i="2"/>
  <c r="F170" i="2"/>
  <c r="G170" i="2"/>
  <c r="F171" i="2"/>
  <c r="G171" i="2"/>
  <c r="F172" i="2"/>
  <c r="G172" i="2"/>
  <c r="F173" i="2"/>
  <c r="G173" i="2"/>
  <c r="F174" i="2"/>
  <c r="G174" i="2"/>
  <c r="F175" i="2"/>
  <c r="G175" i="2"/>
  <c r="F176" i="2"/>
  <c r="G176" i="2"/>
  <c r="F177" i="2"/>
  <c r="G177" i="2"/>
  <c r="F178" i="2"/>
  <c r="G178" i="2"/>
  <c r="F179" i="2"/>
  <c r="G179" i="2"/>
  <c r="F180" i="2"/>
  <c r="G180" i="2"/>
  <c r="F181" i="2"/>
  <c r="G181" i="2"/>
  <c r="F182" i="2"/>
  <c r="G182" i="2"/>
  <c r="F183" i="2"/>
  <c r="G183" i="2"/>
  <c r="F184" i="2"/>
  <c r="G184" i="2"/>
  <c r="F185" i="2"/>
  <c r="G185" i="2"/>
  <c r="F186" i="2"/>
  <c r="G186" i="2"/>
  <c r="F187" i="2"/>
  <c r="G187" i="2"/>
  <c r="F188" i="2"/>
  <c r="G188" i="2"/>
  <c r="F189" i="2"/>
  <c r="G189" i="2"/>
  <c r="F190" i="2"/>
  <c r="G190" i="2"/>
  <c r="F191" i="2"/>
  <c r="G191" i="2"/>
  <c r="F192" i="2"/>
  <c r="G192" i="2"/>
  <c r="F193" i="2"/>
  <c r="G193" i="2"/>
  <c r="F194" i="2"/>
  <c r="G194" i="2"/>
  <c r="F195" i="2"/>
  <c r="G195" i="2"/>
  <c r="F196" i="2"/>
  <c r="G196" i="2"/>
  <c r="F197" i="2"/>
  <c r="G197" i="2"/>
  <c r="F198" i="2"/>
  <c r="G198" i="2"/>
  <c r="F199" i="2"/>
  <c r="G199" i="2"/>
  <c r="F200" i="2"/>
  <c r="G200" i="2"/>
  <c r="F201" i="2"/>
  <c r="G201" i="2"/>
  <c r="F202" i="2"/>
  <c r="G202" i="2"/>
  <c r="F203" i="2"/>
  <c r="G203" i="2"/>
  <c r="F204" i="2"/>
  <c r="G204" i="2"/>
  <c r="F205" i="2"/>
  <c r="G205" i="2"/>
  <c r="L63" i="2"/>
  <c r="L75" i="2"/>
  <c r="G75" i="2" s="1"/>
  <c r="L76" i="2"/>
  <c r="L79" i="2"/>
  <c r="G79" i="2" s="1"/>
  <c r="L93" i="2"/>
  <c r="K65" i="2"/>
  <c r="K67" i="2"/>
  <c r="K68" i="2"/>
  <c r="K69" i="2"/>
  <c r="K83" i="2"/>
  <c r="K84" i="2"/>
  <c r="K85" i="2"/>
  <c r="F85" i="2" s="1"/>
  <c r="K99" i="2"/>
  <c r="G99" i="2" s="1"/>
  <c r="K100" i="2"/>
  <c r="G100" i="2" s="1"/>
  <c r="J61" i="2" a="1"/>
  <c r="J61" i="2" s="1"/>
  <c r="L61" i="2" s="1"/>
  <c r="G61" i="2" s="1"/>
  <c r="J62" i="2" a="1"/>
  <c r="J62" i="2" s="1"/>
  <c r="L62" i="2" s="1"/>
  <c r="J63" i="2" a="1"/>
  <c r="J63" i="2" s="1"/>
  <c r="K63" i="2" s="1"/>
  <c r="J64" i="2" a="1"/>
  <c r="J64" i="2" s="1"/>
  <c r="J65" i="2" a="1"/>
  <c r="J65" i="2" s="1"/>
  <c r="L65" i="2" s="1"/>
  <c r="J66" i="2" a="1"/>
  <c r="J66" i="2" s="1"/>
  <c r="K66" i="2" s="1"/>
  <c r="J67" i="2" a="1"/>
  <c r="J67" i="2" s="1"/>
  <c r="L67" i="2" s="1"/>
  <c r="J68" i="2" a="1"/>
  <c r="J68" i="2" s="1"/>
  <c r="L68" i="2" s="1"/>
  <c r="J69" i="2" a="1"/>
  <c r="J69" i="2" s="1"/>
  <c r="L69" i="2" s="1"/>
  <c r="J70" i="2" a="1"/>
  <c r="J70" i="2" s="1"/>
  <c r="J71" i="2" a="1"/>
  <c r="J71" i="2" s="1"/>
  <c r="L71" i="2" s="1"/>
  <c r="G71" i="2" s="1"/>
  <c r="J72" i="2" a="1"/>
  <c r="J72" i="2" s="1"/>
  <c r="L72" i="2" s="1"/>
  <c r="F72" i="2" s="1"/>
  <c r="J73" i="2" a="1"/>
  <c r="J73" i="2" s="1"/>
  <c r="L73" i="2" s="1"/>
  <c r="G73" i="2" s="1"/>
  <c r="J74" i="2" a="1"/>
  <c r="J74" i="2" s="1"/>
  <c r="L74" i="2" s="1"/>
  <c r="F74" i="2" s="1"/>
  <c r="J75" i="2" a="1"/>
  <c r="J75" i="2" s="1"/>
  <c r="K75" i="2" s="1"/>
  <c r="F75" i="2" s="1"/>
  <c r="J76" i="2" a="1"/>
  <c r="J76" i="2"/>
  <c r="K76" i="2" s="1"/>
  <c r="G76" i="2" s="1"/>
  <c r="J77" i="2" a="1"/>
  <c r="J77" i="2" s="1"/>
  <c r="L77" i="2" s="1"/>
  <c r="J78" i="2" a="1"/>
  <c r="J78" i="2" s="1"/>
  <c r="L78" i="2" s="1"/>
  <c r="J79" i="2" a="1"/>
  <c r="J79" i="2" s="1"/>
  <c r="K79" i="2" s="1"/>
  <c r="J80" i="2" a="1"/>
  <c r="J80" i="2" s="1"/>
  <c r="K80" i="2" s="1"/>
  <c r="J81" i="2" a="1"/>
  <c r="J81" i="2" s="1"/>
  <c r="K81" i="2" s="1"/>
  <c r="J82" i="2" a="1"/>
  <c r="J82" i="2" s="1"/>
  <c r="J83" i="2" a="1"/>
  <c r="J83" i="2" s="1"/>
  <c r="L83" i="2" s="1"/>
  <c r="J84" i="2" a="1"/>
  <c r="J84" i="2" s="1"/>
  <c r="L84" i="2" s="1"/>
  <c r="J85" i="2" a="1"/>
  <c r="J85" i="2" s="1"/>
  <c r="L85" i="2" s="1"/>
  <c r="G85" i="2" s="1"/>
  <c r="J86" i="2" a="1"/>
  <c r="J86" i="2" s="1"/>
  <c r="L86" i="2" s="1"/>
  <c r="F86" i="2" s="1"/>
  <c r="J87" i="2" a="1"/>
  <c r="J87" i="2" s="1"/>
  <c r="L87" i="2" s="1"/>
  <c r="G87" i="2" s="1"/>
  <c r="J88" i="2" a="1"/>
  <c r="J88" i="2"/>
  <c r="L88" i="2" s="1"/>
  <c r="F88" i="2" s="1"/>
  <c r="J89" i="2" a="1"/>
  <c r="J89" i="2" s="1"/>
  <c r="L89" i="2" s="1"/>
  <c r="J90" i="2" a="1"/>
  <c r="J90" i="2" s="1"/>
  <c r="L90" i="2" s="1"/>
  <c r="F90" i="2" s="1"/>
  <c r="J91" i="2" a="1"/>
  <c r="J91" i="2" s="1"/>
  <c r="K91" i="2" s="1"/>
  <c r="J92" i="2" a="1"/>
  <c r="J92" i="2" s="1"/>
  <c r="K92" i="2" s="1"/>
  <c r="J93" i="2" a="1"/>
  <c r="J93" i="2" s="1"/>
  <c r="K93" i="2" s="1"/>
  <c r="J94" i="2" a="1"/>
  <c r="J94" i="2" s="1"/>
  <c r="J95" i="2" a="1"/>
  <c r="J95" i="2" s="1"/>
  <c r="L95" i="2" s="1"/>
  <c r="J96" i="2" a="1"/>
  <c r="J96" i="2" s="1"/>
  <c r="L96" i="2" s="1"/>
  <c r="J97" i="2" a="1"/>
  <c r="J97" i="2" s="1"/>
  <c r="K97" i="2" s="1"/>
  <c r="F97" i="2" s="1"/>
  <c r="J98" i="2" a="1"/>
  <c r="J98" i="2" s="1"/>
  <c r="K98" i="2" s="1"/>
  <c r="J99" i="2" a="1"/>
  <c r="J99" i="2" s="1"/>
  <c r="L99" i="2" s="1"/>
  <c r="F99" i="2" s="1"/>
  <c r="J100" i="2" a="1"/>
  <c r="J100" i="2" s="1"/>
  <c r="L100" i="2" s="1"/>
  <c r="F100" i="2" s="1"/>
  <c r="F67" i="2"/>
  <c r="I61" i="2"/>
  <c r="I62" i="2"/>
  <c r="I63" i="2"/>
  <c r="I64" i="2"/>
  <c r="I65" i="2"/>
  <c r="I66" i="2"/>
  <c r="I67" i="2"/>
  <c r="I68" i="2"/>
  <c r="I69" i="2"/>
  <c r="I70" i="2"/>
  <c r="I73" i="2"/>
  <c r="I74" i="2"/>
  <c r="I75" i="2"/>
  <c r="I76" i="2"/>
  <c r="F76" i="2" s="1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J22" i="2" a="1"/>
  <c r="J22" i="2" s="1"/>
  <c r="I20" i="2"/>
  <c r="I21" i="2"/>
  <c r="I22" i="2"/>
  <c r="I23" i="2"/>
  <c r="I24" i="2"/>
  <c r="I32" i="2"/>
  <c r="J32" i="2" a="1"/>
  <c r="J32" i="2" s="1"/>
  <c r="K32" i="2" s="1"/>
  <c r="M32" i="2"/>
  <c r="I33" i="2"/>
  <c r="J33" i="2" a="1"/>
  <c r="J33" i="2" s="1"/>
  <c r="M33" i="2"/>
  <c r="I34" i="2"/>
  <c r="J34" i="2" a="1"/>
  <c r="J34" i="2" s="1"/>
  <c r="M34" i="2"/>
  <c r="I35" i="2"/>
  <c r="J35" i="2" a="1"/>
  <c r="J35" i="2" s="1"/>
  <c r="M35" i="2"/>
  <c r="I36" i="2"/>
  <c r="J36" i="2" a="1"/>
  <c r="J36" i="2" s="1"/>
  <c r="M36" i="2"/>
  <c r="I37" i="2"/>
  <c r="J37" i="2" a="1"/>
  <c r="J37" i="2" s="1"/>
  <c r="M37" i="2"/>
  <c r="I38" i="2"/>
  <c r="J38" i="2" a="1"/>
  <c r="J38" i="2" s="1"/>
  <c r="M38" i="2"/>
  <c r="I39" i="2"/>
  <c r="J39" i="2" a="1"/>
  <c r="J39" i="2" s="1"/>
  <c r="M39" i="2"/>
  <c r="K82" i="2" l="1"/>
  <c r="L82" i="2"/>
  <c r="L70" i="2"/>
  <c r="F70" i="2" s="1"/>
  <c r="K70" i="2"/>
  <c r="G70" i="2" s="1"/>
  <c r="K64" i="2"/>
  <c r="L64" i="2"/>
  <c r="H75" i="2"/>
  <c r="U75" i="2" s="1"/>
  <c r="H74" i="2"/>
  <c r="U74" i="2" s="1"/>
  <c r="K94" i="2"/>
  <c r="L94" i="2"/>
  <c r="F91" i="2"/>
  <c r="K88" i="2"/>
  <c r="K74" i="2"/>
  <c r="G74" i="2" s="1"/>
  <c r="L98" i="2"/>
  <c r="F98" i="2" s="1"/>
  <c r="L66" i="2"/>
  <c r="F66" i="2" s="1"/>
  <c r="F64" i="2"/>
  <c r="K87" i="2"/>
  <c r="F87" i="2" s="1"/>
  <c r="H87" i="2" s="1"/>
  <c r="U87" i="2" s="1"/>
  <c r="K73" i="2"/>
  <c r="F73" i="2" s="1"/>
  <c r="H73" i="2" s="1"/>
  <c r="U73" i="2" s="1"/>
  <c r="L97" i="2"/>
  <c r="G97" i="2" s="1"/>
  <c r="H97" i="2" s="1"/>
  <c r="U97" i="2" s="1"/>
  <c r="L81" i="2"/>
  <c r="F63" i="2"/>
  <c r="K86" i="2"/>
  <c r="G86" i="2" s="1"/>
  <c r="H86" i="2" s="1"/>
  <c r="U86" i="2" s="1"/>
  <c r="L80" i="2"/>
  <c r="F79" i="2"/>
  <c r="F84" i="2"/>
  <c r="L91" i="2"/>
  <c r="G91" i="2" s="1"/>
  <c r="H91" i="2" s="1"/>
  <c r="U91" i="2" s="1"/>
  <c r="F69" i="2"/>
  <c r="F68" i="2"/>
  <c r="L92" i="2"/>
  <c r="F94" i="2"/>
  <c r="F81" i="2"/>
  <c r="G67" i="2"/>
  <c r="F93" i="2"/>
  <c r="F92" i="2"/>
  <c r="F80" i="2"/>
  <c r="K90" i="2"/>
  <c r="G90" i="2" s="1"/>
  <c r="H90" i="2" s="1"/>
  <c r="U90" i="2" s="1"/>
  <c r="K78" i="2"/>
  <c r="G78" i="2" s="1"/>
  <c r="K89" i="2"/>
  <c r="F89" i="2" s="1"/>
  <c r="K77" i="2"/>
  <c r="F77" i="2" s="1"/>
  <c r="K72" i="2"/>
  <c r="G72" i="2" s="1"/>
  <c r="H72" i="2" s="1"/>
  <c r="U72" i="2" s="1"/>
  <c r="K71" i="2"/>
  <c r="F71" i="2" s="1"/>
  <c r="H71" i="2" s="1"/>
  <c r="U71" i="2" s="1"/>
  <c r="G89" i="2"/>
  <c r="F62" i="2"/>
  <c r="K62" i="2"/>
  <c r="G62" i="2" s="1"/>
  <c r="K61" i="2"/>
  <c r="F61" i="2" s="1"/>
  <c r="H61" i="2" s="1"/>
  <c r="U61" i="2" s="1"/>
  <c r="K106" i="2"/>
  <c r="G106" i="2" s="1"/>
  <c r="L106" i="2"/>
  <c r="F106" i="2" s="1"/>
  <c r="K105" i="2"/>
  <c r="G105" i="2" s="1"/>
  <c r="L105" i="2"/>
  <c r="K104" i="2"/>
  <c r="G104" i="2" s="1"/>
  <c r="L104" i="2"/>
  <c r="F104" i="2" s="1"/>
  <c r="K103" i="2"/>
  <c r="L103" i="2"/>
  <c r="F103" i="2" s="1"/>
  <c r="K108" i="2"/>
  <c r="G108" i="2" s="1"/>
  <c r="L108" i="2"/>
  <c r="F108" i="2" s="1"/>
  <c r="H108" i="2" s="1"/>
  <c r="U108" i="2" s="1"/>
  <c r="K102" i="2"/>
  <c r="G102" i="2" s="1"/>
  <c r="L102" i="2"/>
  <c r="F102" i="2" s="1"/>
  <c r="K107" i="2"/>
  <c r="L107" i="2"/>
  <c r="F107" i="2" s="1"/>
  <c r="K101" i="2"/>
  <c r="G101" i="2" s="1"/>
  <c r="L101" i="2"/>
  <c r="K96" i="2"/>
  <c r="K95" i="2"/>
  <c r="G95" i="2" s="1"/>
  <c r="G96" i="2"/>
  <c r="G83" i="2"/>
  <c r="G82" i="2"/>
  <c r="G65" i="2"/>
  <c r="G88" i="2"/>
  <c r="H88" i="2" s="1"/>
  <c r="U88" i="2" s="1"/>
  <c r="H99" i="2"/>
  <c r="U99" i="2" s="1"/>
  <c r="G66" i="2"/>
  <c r="H67" i="2"/>
  <c r="U67" i="2" s="1"/>
  <c r="F78" i="2"/>
  <c r="G94" i="2"/>
  <c r="F65" i="2"/>
  <c r="G69" i="2"/>
  <c r="H69" i="2" s="1"/>
  <c r="U69" i="2" s="1"/>
  <c r="G64" i="2"/>
  <c r="H64" i="2" s="1"/>
  <c r="U64" i="2" s="1"/>
  <c r="G63" i="2"/>
  <c r="H63" i="2" s="1"/>
  <c r="U63" i="2" s="1"/>
  <c r="G98" i="2"/>
  <c r="G68" i="2"/>
  <c r="F82" i="2"/>
  <c r="G92" i="2"/>
  <c r="H85" i="2"/>
  <c r="U85" i="2" s="1"/>
  <c r="G81" i="2"/>
  <c r="G77" i="2"/>
  <c r="F83" i="2"/>
  <c r="H100" i="2"/>
  <c r="U100" i="2" s="1"/>
  <c r="F96" i="2"/>
  <c r="G84" i="2"/>
  <c r="H84" i="2" s="1"/>
  <c r="U84" i="2" s="1"/>
  <c r="G93" i="2"/>
  <c r="H93" i="2" s="1"/>
  <c r="U93" i="2" s="1"/>
  <c r="G80" i="2"/>
  <c r="H80" i="2" s="1"/>
  <c r="U80" i="2" s="1"/>
  <c r="H79" i="2"/>
  <c r="U79" i="2" s="1"/>
  <c r="H76" i="2"/>
  <c r="U76" i="2" s="1"/>
  <c r="G32" i="2"/>
  <c r="L22" i="2"/>
  <c r="F22" i="2" s="1"/>
  <c r="K22" i="2"/>
  <c r="L39" i="2"/>
  <c r="K39" i="2"/>
  <c r="K37" i="2"/>
  <c r="L37" i="2"/>
  <c r="K35" i="2"/>
  <c r="L35" i="2"/>
  <c r="K33" i="2"/>
  <c r="L33" i="2"/>
  <c r="K38" i="2"/>
  <c r="G38" i="2" s="1"/>
  <c r="L38" i="2"/>
  <c r="F38" i="2" s="1"/>
  <c r="K34" i="2"/>
  <c r="G34" i="2" s="1"/>
  <c r="L34" i="2"/>
  <c r="F34" i="2" s="1"/>
  <c r="K36" i="2"/>
  <c r="G36" i="2" s="1"/>
  <c r="L36" i="2"/>
  <c r="F36" i="2" s="1"/>
  <c r="L32" i="2"/>
  <c r="F32" i="2" s="1"/>
  <c r="H81" i="2" l="1"/>
  <c r="U81" i="2" s="1"/>
  <c r="F101" i="2"/>
  <c r="H101" i="2" s="1"/>
  <c r="U101" i="2" s="1"/>
  <c r="F105" i="2"/>
  <c r="H105" i="2" s="1"/>
  <c r="U105" i="2" s="1"/>
  <c r="H94" i="2"/>
  <c r="U94" i="2" s="1"/>
  <c r="H66" i="2"/>
  <c r="U66" i="2" s="1"/>
  <c r="H70" i="2"/>
  <c r="U70" i="2" s="1"/>
  <c r="G107" i="2"/>
  <c r="H107" i="2" s="1"/>
  <c r="U107" i="2" s="1"/>
  <c r="H98" i="2"/>
  <c r="U98" i="2" s="1"/>
  <c r="G103" i="2"/>
  <c r="H103" i="2" s="1"/>
  <c r="U103" i="2" s="1"/>
  <c r="F95" i="2"/>
  <c r="H95" i="2" s="1"/>
  <c r="U95" i="2" s="1"/>
  <c r="H92" i="2"/>
  <c r="U92" i="2" s="1"/>
  <c r="H68" i="2"/>
  <c r="U68" i="2" s="1"/>
  <c r="H102" i="2"/>
  <c r="U102" i="2" s="1"/>
  <c r="H89" i="2"/>
  <c r="U89" i="2" s="1"/>
  <c r="H78" i="2"/>
  <c r="U78" i="2" s="1"/>
  <c r="H62" i="2"/>
  <c r="U62" i="2" s="1"/>
  <c r="H77" i="2"/>
  <c r="U77" i="2" s="1"/>
  <c r="H104" i="2"/>
  <c r="U104" i="2" s="1"/>
  <c r="H106" i="2"/>
  <c r="U106" i="2" s="1"/>
  <c r="H96" i="2"/>
  <c r="U96" i="2" s="1"/>
  <c r="H65" i="2"/>
  <c r="U65" i="2" s="1"/>
  <c r="H83" i="2"/>
  <c r="U83" i="2" s="1"/>
  <c r="H82" i="2"/>
  <c r="U82" i="2" s="1"/>
  <c r="H32" i="2"/>
  <c r="U32" i="2" s="1"/>
  <c r="F35" i="2"/>
  <c r="G39" i="2"/>
  <c r="G37" i="2"/>
  <c r="F39" i="2"/>
  <c r="F37" i="2"/>
  <c r="F33" i="2"/>
  <c r="G35" i="2"/>
  <c r="G33" i="2"/>
  <c r="H36" i="2"/>
  <c r="U36" i="2" s="1"/>
  <c r="H34" i="2"/>
  <c r="U34" i="2" s="1"/>
  <c r="H38" i="2"/>
  <c r="U38" i="2" s="1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S61" i="2" s="1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B58" i="8"/>
  <c r="C58" i="8"/>
  <c r="D58" i="8"/>
  <c r="E58" i="8"/>
  <c r="F58" i="8"/>
  <c r="G58" i="8"/>
  <c r="H58" i="8"/>
  <c r="I58" i="8"/>
  <c r="J58" i="8"/>
  <c r="B66" i="8"/>
  <c r="C66" i="8"/>
  <c r="D66" i="8"/>
  <c r="E66" i="8"/>
  <c r="F66" i="8"/>
  <c r="G66" i="8"/>
  <c r="H66" i="8"/>
  <c r="I66" i="8"/>
  <c r="J66" i="8"/>
  <c r="B68" i="8"/>
  <c r="C68" i="8"/>
  <c r="D68" i="8"/>
  <c r="E68" i="8"/>
  <c r="F68" i="8"/>
  <c r="G68" i="8"/>
  <c r="H68" i="8"/>
  <c r="I68" i="8"/>
  <c r="J68" i="8"/>
  <c r="B39" i="8"/>
  <c r="C39" i="8"/>
  <c r="D39" i="8"/>
  <c r="E39" i="8"/>
  <c r="F39" i="8"/>
  <c r="G39" i="8"/>
  <c r="H39" i="8"/>
  <c r="I39" i="8"/>
  <c r="J39" i="8"/>
  <c r="B40" i="8"/>
  <c r="C40" i="8"/>
  <c r="D40" i="8"/>
  <c r="E40" i="8"/>
  <c r="F40" i="8"/>
  <c r="G40" i="8"/>
  <c r="H40" i="8"/>
  <c r="I40" i="8"/>
  <c r="J40" i="8"/>
  <c r="B41" i="8"/>
  <c r="C41" i="8"/>
  <c r="D41" i="8"/>
  <c r="E41" i="8"/>
  <c r="F41" i="8"/>
  <c r="G41" i="8"/>
  <c r="H41" i="8"/>
  <c r="I41" i="8"/>
  <c r="J41" i="8"/>
  <c r="B42" i="8"/>
  <c r="C42" i="8"/>
  <c r="D42" i="8"/>
  <c r="E42" i="8"/>
  <c r="F42" i="8"/>
  <c r="G42" i="8"/>
  <c r="H42" i="8"/>
  <c r="I42" i="8"/>
  <c r="J42" i="8"/>
  <c r="B43" i="8"/>
  <c r="C43" i="8"/>
  <c r="D43" i="8"/>
  <c r="E43" i="8"/>
  <c r="F43" i="8"/>
  <c r="G43" i="8"/>
  <c r="H43" i="8"/>
  <c r="I43" i="8"/>
  <c r="J43" i="8"/>
  <c r="B44" i="8"/>
  <c r="C44" i="8"/>
  <c r="D44" i="8"/>
  <c r="E44" i="8"/>
  <c r="F44" i="8"/>
  <c r="G44" i="8"/>
  <c r="H44" i="8"/>
  <c r="I44" i="8"/>
  <c r="J44" i="8"/>
  <c r="B45" i="8"/>
  <c r="C45" i="8"/>
  <c r="D45" i="8"/>
  <c r="E45" i="8"/>
  <c r="F45" i="8"/>
  <c r="G45" i="8"/>
  <c r="H45" i="8"/>
  <c r="I45" i="8"/>
  <c r="J45" i="8"/>
  <c r="B46" i="8"/>
  <c r="C46" i="8"/>
  <c r="D46" i="8"/>
  <c r="E46" i="8"/>
  <c r="F46" i="8"/>
  <c r="G46" i="8"/>
  <c r="H46" i="8"/>
  <c r="I46" i="8"/>
  <c r="J46" i="8"/>
  <c r="B47" i="8"/>
  <c r="C47" i="8"/>
  <c r="D47" i="8"/>
  <c r="E47" i="8"/>
  <c r="F47" i="8"/>
  <c r="G47" i="8"/>
  <c r="H47" i="8"/>
  <c r="I47" i="8"/>
  <c r="J47" i="8"/>
  <c r="B48" i="8"/>
  <c r="C48" i="8"/>
  <c r="D48" i="8"/>
  <c r="E48" i="8"/>
  <c r="F48" i="8"/>
  <c r="G48" i="8"/>
  <c r="H48" i="8"/>
  <c r="I48" i="8"/>
  <c r="J48" i="8"/>
  <c r="B49" i="8"/>
  <c r="C49" i="8"/>
  <c r="D49" i="8"/>
  <c r="E49" i="8"/>
  <c r="F49" i="8"/>
  <c r="G49" i="8"/>
  <c r="H49" i="8"/>
  <c r="I49" i="8"/>
  <c r="J49" i="8"/>
  <c r="B50" i="8"/>
  <c r="C50" i="8"/>
  <c r="D50" i="8"/>
  <c r="E50" i="8"/>
  <c r="F50" i="8"/>
  <c r="G50" i="8"/>
  <c r="H50" i="8"/>
  <c r="I50" i="8"/>
  <c r="J50" i="8"/>
  <c r="B51" i="8"/>
  <c r="C51" i="8"/>
  <c r="D51" i="8"/>
  <c r="E51" i="8"/>
  <c r="F51" i="8"/>
  <c r="G51" i="8"/>
  <c r="H51" i="8"/>
  <c r="I51" i="8"/>
  <c r="J51" i="8"/>
  <c r="B52" i="8"/>
  <c r="C52" i="8"/>
  <c r="D52" i="8"/>
  <c r="E52" i="8"/>
  <c r="F52" i="8"/>
  <c r="G52" i="8"/>
  <c r="H52" i="8"/>
  <c r="I52" i="8"/>
  <c r="J52" i="8"/>
  <c r="B53" i="8"/>
  <c r="C53" i="8"/>
  <c r="D53" i="8"/>
  <c r="E53" i="8"/>
  <c r="F53" i="8"/>
  <c r="G53" i="8"/>
  <c r="H53" i="8"/>
  <c r="I53" i="8"/>
  <c r="J53" i="8"/>
  <c r="B54" i="8"/>
  <c r="C54" i="8"/>
  <c r="D54" i="8"/>
  <c r="E54" i="8"/>
  <c r="F54" i="8"/>
  <c r="G54" i="8"/>
  <c r="H54" i="8"/>
  <c r="I54" i="8"/>
  <c r="J54" i="8"/>
  <c r="B55" i="8"/>
  <c r="C55" i="8"/>
  <c r="D55" i="8"/>
  <c r="E55" i="8"/>
  <c r="F55" i="8"/>
  <c r="G55" i="8"/>
  <c r="H55" i="8"/>
  <c r="I55" i="8"/>
  <c r="J55" i="8"/>
  <c r="B56" i="8"/>
  <c r="C56" i="8"/>
  <c r="D56" i="8"/>
  <c r="E56" i="8"/>
  <c r="F56" i="8"/>
  <c r="G56" i="8"/>
  <c r="H56" i="8"/>
  <c r="I56" i="8"/>
  <c r="J56" i="8"/>
  <c r="B57" i="8"/>
  <c r="C57" i="8"/>
  <c r="D57" i="8"/>
  <c r="E57" i="8"/>
  <c r="F57" i="8"/>
  <c r="G57" i="8"/>
  <c r="H57" i="8"/>
  <c r="I57" i="8"/>
  <c r="J57" i="8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G22" i="2"/>
  <c r="I3" i="2"/>
  <c r="J3" i="2" a="1"/>
  <c r="J3" i="2" s="1"/>
  <c r="I4" i="2"/>
  <c r="J4" i="2" a="1"/>
  <c r="J4" i="2" s="1"/>
  <c r="I5" i="2"/>
  <c r="J5" i="2" a="1"/>
  <c r="J5" i="2" s="1"/>
  <c r="L5" i="2" s="1"/>
  <c r="I6" i="2"/>
  <c r="J6" i="2" a="1"/>
  <c r="J6" i="2" s="1"/>
  <c r="I7" i="2"/>
  <c r="J7" i="2" a="1"/>
  <c r="J7" i="2" s="1"/>
  <c r="I8" i="2"/>
  <c r="J8" i="2" a="1"/>
  <c r="J8" i="2" s="1"/>
  <c r="K8" i="2" s="1"/>
  <c r="I9" i="2"/>
  <c r="J9" i="2" a="1"/>
  <c r="J9" i="2" s="1"/>
  <c r="L9" i="2" s="1"/>
  <c r="I10" i="2"/>
  <c r="J10" i="2" a="1"/>
  <c r="J10" i="2" s="1"/>
  <c r="I11" i="2"/>
  <c r="J11" i="2" a="1"/>
  <c r="J11" i="2" s="1"/>
  <c r="I12" i="2"/>
  <c r="J12" i="2" a="1"/>
  <c r="J12" i="2" s="1"/>
  <c r="I13" i="2"/>
  <c r="J13" i="2" a="1"/>
  <c r="J13" i="2" s="1"/>
  <c r="I14" i="2"/>
  <c r="J14" i="2" a="1"/>
  <c r="J14" i="2" s="1"/>
  <c r="K14" i="2" s="1"/>
  <c r="I15" i="2"/>
  <c r="J15" i="2" a="1"/>
  <c r="J15" i="2" s="1"/>
  <c r="K15" i="2" s="1"/>
  <c r="I16" i="2"/>
  <c r="J16" i="2" a="1"/>
  <c r="J16" i="2" s="1"/>
  <c r="I17" i="2"/>
  <c r="J17" i="2" a="1"/>
  <c r="J17" i="2" s="1"/>
  <c r="I18" i="2"/>
  <c r="J18" i="2" a="1"/>
  <c r="J18" i="2" s="1"/>
  <c r="I19" i="2"/>
  <c r="J19" i="2" a="1"/>
  <c r="J19" i="2" s="1"/>
  <c r="L19" i="2" s="1"/>
  <c r="J20" i="2" a="1"/>
  <c r="J20" i="2" s="1"/>
  <c r="J21" i="2" a="1"/>
  <c r="J21" i="2" s="1"/>
  <c r="K21" i="2" s="1"/>
  <c r="J23" i="2" a="1"/>
  <c r="J23" i="2" s="1"/>
  <c r="J24" i="2" a="1"/>
  <c r="J24" i="2" s="1"/>
  <c r="K24" i="2" s="1"/>
  <c r="I25" i="2"/>
  <c r="J25" i="2" a="1"/>
  <c r="J25" i="2" s="1"/>
  <c r="I26" i="2"/>
  <c r="J26" i="2" a="1"/>
  <c r="J26" i="2" s="1"/>
  <c r="K26" i="2" s="1"/>
  <c r="I27" i="2"/>
  <c r="J27" i="2" a="1"/>
  <c r="J27" i="2" s="1"/>
  <c r="L27" i="2" s="1"/>
  <c r="I28" i="2"/>
  <c r="J28" i="2" a="1"/>
  <c r="J28" i="2" s="1"/>
  <c r="I29" i="2"/>
  <c r="J29" i="2" a="1"/>
  <c r="J29" i="2" s="1"/>
  <c r="I30" i="2"/>
  <c r="J30" i="2" a="1"/>
  <c r="J30" i="2" s="1"/>
  <c r="K30" i="2" s="1"/>
  <c r="I31" i="2"/>
  <c r="J31" i="2" a="1"/>
  <c r="J31" i="2" s="1"/>
  <c r="I41" i="2"/>
  <c r="J41" i="2" a="1"/>
  <c r="J41" i="2" s="1"/>
  <c r="I40" i="2"/>
  <c r="J40" i="2" a="1"/>
  <c r="J40" i="2" s="1"/>
  <c r="I46" i="2"/>
  <c r="J46" i="2" a="1"/>
  <c r="J46" i="2" s="1"/>
  <c r="L46" i="2" s="1"/>
  <c r="F46" i="2" s="1"/>
  <c r="I42" i="2"/>
  <c r="J42" i="2" a="1"/>
  <c r="J42" i="2" s="1"/>
  <c r="K42" i="2" s="1"/>
  <c r="I44" i="2"/>
  <c r="J44" i="2" a="1"/>
  <c r="J44" i="2" s="1"/>
  <c r="L44" i="2" s="1"/>
  <c r="I45" i="2"/>
  <c r="J45" i="2" a="1"/>
  <c r="J45" i="2" s="1"/>
  <c r="I47" i="2"/>
  <c r="J47" i="2" a="1"/>
  <c r="J47" i="2" s="1"/>
  <c r="K47" i="2" s="1"/>
  <c r="I48" i="2"/>
  <c r="J48" i="2" a="1"/>
  <c r="J48" i="2" s="1"/>
  <c r="I43" i="2"/>
  <c r="J43" i="2" a="1"/>
  <c r="J43" i="2" s="1"/>
  <c r="I51" i="2"/>
  <c r="J51" i="2" a="1"/>
  <c r="J51" i="2" s="1"/>
  <c r="I52" i="2"/>
  <c r="J52" i="2" a="1"/>
  <c r="J52" i="2" s="1"/>
  <c r="I53" i="2"/>
  <c r="J53" i="2" a="1"/>
  <c r="J53" i="2" s="1"/>
  <c r="I49" i="2"/>
  <c r="J49" i="2" a="1"/>
  <c r="J49" i="2" s="1"/>
  <c r="I54" i="2"/>
  <c r="J54" i="2" a="1"/>
  <c r="J54" i="2" s="1"/>
  <c r="I50" i="2"/>
  <c r="J50" i="2" a="1"/>
  <c r="J50" i="2" s="1"/>
  <c r="I55" i="2"/>
  <c r="J55" i="2" a="1"/>
  <c r="J55" i="2" s="1"/>
  <c r="I56" i="2"/>
  <c r="J56" i="2" a="1"/>
  <c r="J56" i="2" s="1"/>
  <c r="K56" i="2" s="1"/>
  <c r="I57" i="2"/>
  <c r="J57" i="2" a="1"/>
  <c r="J57" i="2" s="1"/>
  <c r="I59" i="2"/>
  <c r="J59" i="2" a="1"/>
  <c r="J59" i="2" s="1"/>
  <c r="I58" i="2"/>
  <c r="J58" i="2" a="1"/>
  <c r="J58" i="2" s="1"/>
  <c r="L58" i="2" s="1"/>
  <c r="I60" i="2"/>
  <c r="J60" i="2" a="1"/>
  <c r="J60" i="2" s="1"/>
  <c r="K60" i="2" s="1"/>
  <c r="R22" i="2"/>
  <c r="S22" i="2" s="1"/>
  <c r="H37" i="2" l="1"/>
  <c r="U37" i="2" s="1"/>
  <c r="H35" i="2"/>
  <c r="U35" i="2" s="1"/>
  <c r="H39" i="2"/>
  <c r="U39" i="2" s="1"/>
  <c r="H33" i="2"/>
  <c r="U33" i="2" s="1"/>
  <c r="T61" i="2"/>
  <c r="F44" i="2"/>
  <c r="G8" i="2"/>
  <c r="H22" i="2"/>
  <c r="U22" i="2" s="1"/>
  <c r="L31" i="2"/>
  <c r="K31" i="2"/>
  <c r="K6" i="2"/>
  <c r="G6" i="2" s="1"/>
  <c r="L6" i="2"/>
  <c r="K27" i="2"/>
  <c r="F27" i="2" s="1"/>
  <c r="K9" i="2"/>
  <c r="G9" i="2" s="1"/>
  <c r="K5" i="2"/>
  <c r="F5" i="2" s="1"/>
  <c r="L21" i="2"/>
  <c r="G21" i="2" s="1"/>
  <c r="L14" i="2"/>
  <c r="F14" i="2" s="1"/>
  <c r="K23" i="2"/>
  <c r="L23" i="2"/>
  <c r="K4" i="2"/>
  <c r="G4" i="2" s="1"/>
  <c r="L4" i="2"/>
  <c r="F4" i="2" s="1"/>
  <c r="L24" i="2"/>
  <c r="G24" i="2" s="1"/>
  <c r="K11" i="2"/>
  <c r="L11" i="2"/>
  <c r="K17" i="2"/>
  <c r="L17" i="2"/>
  <c r="K28" i="2"/>
  <c r="G28" i="2" s="1"/>
  <c r="L28" i="2"/>
  <c r="F28" i="2" s="1"/>
  <c r="K18" i="2"/>
  <c r="L18" i="2"/>
  <c r="K3" i="2"/>
  <c r="L3" i="2"/>
  <c r="K10" i="2"/>
  <c r="G10" i="2" s="1"/>
  <c r="L10" i="2"/>
  <c r="F10" i="2" s="1"/>
  <c r="K16" i="2"/>
  <c r="G16" i="2" s="1"/>
  <c r="L16" i="2"/>
  <c r="K29" i="2"/>
  <c r="L29" i="2"/>
  <c r="K13" i="2"/>
  <c r="L13" i="2"/>
  <c r="K20" i="2"/>
  <c r="L20" i="2"/>
  <c r="K25" i="2"/>
  <c r="L25" i="2"/>
  <c r="K12" i="2"/>
  <c r="L12" i="2"/>
  <c r="K7" i="2"/>
  <c r="L7" i="2"/>
  <c r="K19" i="2"/>
  <c r="F19" i="2" s="1"/>
  <c r="L30" i="2"/>
  <c r="F30" i="2" s="1"/>
  <c r="L26" i="2"/>
  <c r="F26" i="2" s="1"/>
  <c r="L15" i="2"/>
  <c r="F15" i="2" s="1"/>
  <c r="L8" i="2"/>
  <c r="L42" i="2"/>
  <c r="F42" i="2" s="1"/>
  <c r="L52" i="2"/>
  <c r="K49" i="2"/>
  <c r="L51" i="2"/>
  <c r="K51" i="2"/>
  <c r="L60" i="2"/>
  <c r="F60" i="2" s="1"/>
  <c r="L50" i="2"/>
  <c r="K50" i="2"/>
  <c r="K48" i="2"/>
  <c r="L48" i="2"/>
  <c r="K54" i="2"/>
  <c r="G54" i="2" s="1"/>
  <c r="L54" i="2"/>
  <c r="F54" i="2" s="1"/>
  <c r="K55" i="2"/>
  <c r="L55" i="2"/>
  <c r="K41" i="2"/>
  <c r="L41" i="2"/>
  <c r="K43" i="2"/>
  <c r="L43" i="2"/>
  <c r="K59" i="2"/>
  <c r="L59" i="2"/>
  <c r="K57" i="2"/>
  <c r="L57" i="2"/>
  <c r="K45" i="2"/>
  <c r="L45" i="2"/>
  <c r="K53" i="2"/>
  <c r="L53" i="2"/>
  <c r="L40" i="2"/>
  <c r="F40" i="2" s="1"/>
  <c r="K58" i="2"/>
  <c r="G58" i="2" s="1"/>
  <c r="L49" i="2"/>
  <c r="L47" i="2"/>
  <c r="G47" i="2" s="1"/>
  <c r="K40" i="2"/>
  <c r="G40" i="2" s="1"/>
  <c r="K52" i="2"/>
  <c r="K44" i="2"/>
  <c r="K46" i="2"/>
  <c r="L56" i="2"/>
  <c r="F56" i="2" s="1"/>
  <c r="S152" i="2"/>
  <c r="S86" i="2"/>
  <c r="S91" i="2"/>
  <c r="Q4" i="2"/>
  <c r="R4" i="2" s="1"/>
  <c r="S4" i="2" s="1"/>
  <c r="S153" i="2"/>
  <c r="S154" i="2"/>
  <c r="Q5" i="2"/>
  <c r="R5" i="2" s="1"/>
  <c r="S5" i="2" s="1"/>
  <c r="S155" i="2"/>
  <c r="Q6" i="2"/>
  <c r="R6" i="2" s="1"/>
  <c r="S6" i="2" s="1"/>
  <c r="S158" i="2"/>
  <c r="S182" i="2"/>
  <c r="S147" i="2"/>
  <c r="S190" i="2"/>
  <c r="S170" i="2"/>
  <c r="S196" i="2"/>
  <c r="S62" i="2"/>
  <c r="S159" i="2"/>
  <c r="S191" i="2"/>
  <c r="S149" i="2"/>
  <c r="S183" i="2"/>
  <c r="S173" i="2"/>
  <c r="S63" i="2"/>
  <c r="S197" i="2"/>
  <c r="S148" i="2"/>
  <c r="S163" i="2"/>
  <c r="S184" i="2"/>
  <c r="S192" i="2"/>
  <c r="S64" i="2"/>
  <c r="S174" i="2"/>
  <c r="S87" i="2"/>
  <c r="S198" i="2"/>
  <c r="S188" i="2"/>
  <c r="S199" i="2"/>
  <c r="S88" i="2"/>
  <c r="S160" i="2"/>
  <c r="S65" i="2"/>
  <c r="S146" i="2"/>
  <c r="S175" i="2"/>
  <c r="S185" i="2"/>
  <c r="S161" i="2"/>
  <c r="S194" i="2"/>
  <c r="S193" i="2"/>
  <c r="S151" i="2"/>
  <c r="S172" i="2"/>
  <c r="S66" i="2"/>
  <c r="S186" i="2"/>
  <c r="S162" i="2"/>
  <c r="S171" i="2"/>
  <c r="S150" i="2"/>
  <c r="S195" i="2"/>
  <c r="S187" i="2"/>
  <c r="S189" i="2"/>
  <c r="S67" i="2"/>
  <c r="S166" i="2"/>
  <c r="S68" i="2"/>
  <c r="S157" i="2"/>
  <c r="S138" i="2"/>
  <c r="S110" i="2"/>
  <c r="S104" i="2"/>
  <c r="S142" i="2"/>
  <c r="S179" i="2"/>
  <c r="S137" i="2"/>
  <c r="S167" i="2"/>
  <c r="S69" i="2"/>
  <c r="S180" i="2"/>
  <c r="S111" i="2"/>
  <c r="S105" i="2"/>
  <c r="S141" i="2"/>
  <c r="S168" i="2"/>
  <c r="S135" i="2"/>
  <c r="S70" i="2"/>
  <c r="S112" i="2"/>
  <c r="S144" i="2"/>
  <c r="S181" i="2"/>
  <c r="S106" i="2"/>
  <c r="S164" i="2"/>
  <c r="S113" i="2"/>
  <c r="S107" i="2"/>
  <c r="S176" i="2"/>
  <c r="S139" i="2"/>
  <c r="S71" i="2"/>
  <c r="S145" i="2"/>
  <c r="S114" i="2"/>
  <c r="S165" i="2"/>
  <c r="S108" i="2"/>
  <c r="S136" i="2"/>
  <c r="S72" i="2"/>
  <c r="S177" i="2"/>
  <c r="S143" i="2"/>
  <c r="S115" i="2"/>
  <c r="S134" i="2"/>
  <c r="S156" i="2"/>
  <c r="S73" i="2"/>
  <c r="S109" i="2"/>
  <c r="S140" i="2"/>
  <c r="S169" i="2"/>
  <c r="S178" i="2"/>
  <c r="S116" i="2"/>
  <c r="S123" i="2"/>
  <c r="S80" i="2"/>
  <c r="S202" i="2"/>
  <c r="S74" i="2"/>
  <c r="S98" i="2"/>
  <c r="S96" i="2"/>
  <c r="S132" i="2"/>
  <c r="S117" i="2"/>
  <c r="S203" i="2"/>
  <c r="S81" i="2"/>
  <c r="S124" i="2"/>
  <c r="S75" i="2"/>
  <c r="S93" i="2"/>
  <c r="S100" i="2"/>
  <c r="S129" i="2"/>
  <c r="S82" i="2"/>
  <c r="S118" i="2"/>
  <c r="S127" i="2"/>
  <c r="S200" i="2"/>
  <c r="S76" i="2"/>
  <c r="S128" i="2"/>
  <c r="S94" i="2"/>
  <c r="S99" i="2"/>
  <c r="S119" i="2"/>
  <c r="S130" i="2"/>
  <c r="S77" i="2"/>
  <c r="S204" i="2"/>
  <c r="S83" i="2"/>
  <c r="S102" i="2"/>
  <c r="S95" i="2"/>
  <c r="S125" i="2"/>
  <c r="S120" i="2"/>
  <c r="S205" i="2"/>
  <c r="S78" i="2"/>
  <c r="S131" i="2"/>
  <c r="S84" i="2"/>
  <c r="S92" i="2"/>
  <c r="S103" i="2"/>
  <c r="S122" i="2"/>
  <c r="S97" i="2"/>
  <c r="S201" i="2"/>
  <c r="S85" i="2"/>
  <c r="S121" i="2"/>
  <c r="S79" i="2"/>
  <c r="S101" i="2"/>
  <c r="S126" i="2"/>
  <c r="S133" i="2"/>
  <c r="R25" i="2"/>
  <c r="S25" i="2" s="1"/>
  <c r="Q17" i="2"/>
  <c r="R17" i="2" s="1"/>
  <c r="S17" i="2" s="1"/>
  <c r="R46" i="2"/>
  <c r="S46" i="2" s="1"/>
  <c r="R56" i="2"/>
  <c r="S56" i="2" s="1"/>
  <c r="R51" i="2"/>
  <c r="S51" i="2" s="1"/>
  <c r="Q14" i="2"/>
  <c r="R14" i="2" s="1"/>
  <c r="S14" i="2" s="1"/>
  <c r="R30" i="2"/>
  <c r="S30" i="2" s="1"/>
  <c r="R27" i="2"/>
  <c r="S27" i="2" s="1"/>
  <c r="R37" i="2"/>
  <c r="S37" i="2" s="1"/>
  <c r="Q3" i="2"/>
  <c r="R3" i="2" s="1"/>
  <c r="S3" i="2" s="1"/>
  <c r="Q18" i="2"/>
  <c r="R18" i="2" s="1"/>
  <c r="S18" i="2" s="1"/>
  <c r="R57" i="2"/>
  <c r="S57" i="2" s="1"/>
  <c r="R42" i="2"/>
  <c r="S42" i="2" s="1"/>
  <c r="Q16" i="2"/>
  <c r="R16" i="2" s="1"/>
  <c r="S16" i="2" s="1"/>
  <c r="R52" i="2"/>
  <c r="S52" i="2" s="1"/>
  <c r="R33" i="2"/>
  <c r="S33" i="2" s="1"/>
  <c r="R38" i="2"/>
  <c r="S38" i="2" s="1"/>
  <c r="S89" i="2"/>
  <c r="Q10" i="2"/>
  <c r="R10" i="2" s="1"/>
  <c r="S10" i="2" s="1"/>
  <c r="R26" i="2"/>
  <c r="S26" i="2" s="1"/>
  <c r="R59" i="2"/>
  <c r="S59" i="2" s="1"/>
  <c r="R41" i="2"/>
  <c r="S41" i="2" s="1"/>
  <c r="R44" i="2"/>
  <c r="S44" i="2" s="1"/>
  <c r="R32" i="2"/>
  <c r="S32" i="2" s="1"/>
  <c r="Q19" i="2"/>
  <c r="R19" i="2" s="1"/>
  <c r="S19" i="2" s="1"/>
  <c r="S90" i="2"/>
  <c r="R53" i="2"/>
  <c r="S53" i="2" s="1"/>
  <c r="R28" i="2"/>
  <c r="S28" i="2" s="1"/>
  <c r="Q11" i="2"/>
  <c r="R11" i="2" s="1"/>
  <c r="S11" i="2" s="1"/>
  <c r="R39" i="2"/>
  <c r="S39" i="2" s="1"/>
  <c r="R58" i="2"/>
  <c r="S58" i="2" s="1"/>
  <c r="R31" i="2"/>
  <c r="S31" i="2" s="1"/>
  <c r="R45" i="2"/>
  <c r="S45" i="2" s="1"/>
  <c r="Q20" i="2"/>
  <c r="R20" i="2" s="1"/>
  <c r="S20" i="2" s="1"/>
  <c r="R49" i="2"/>
  <c r="S49" i="2" s="1"/>
  <c r="R21" i="2"/>
  <c r="S21" i="2" s="1"/>
  <c r="R40" i="2"/>
  <c r="S40" i="2" s="1"/>
  <c r="R29" i="2"/>
  <c r="S29" i="2" s="1"/>
  <c r="R47" i="2"/>
  <c r="S47" i="2" s="1"/>
  <c r="Q15" i="2"/>
  <c r="R15" i="2" s="1"/>
  <c r="S15" i="2" s="1"/>
  <c r="R34" i="2"/>
  <c r="S34" i="2" s="1"/>
  <c r="R54" i="2"/>
  <c r="S54" i="2" s="1"/>
  <c r="R60" i="2"/>
  <c r="S60" i="2" s="1"/>
  <c r="Q7" i="2"/>
  <c r="R7" i="2" s="1"/>
  <c r="S7" i="2" s="1"/>
  <c r="R48" i="2"/>
  <c r="S48" i="2" s="1"/>
  <c r="Q13" i="2"/>
  <c r="R13" i="2" s="1"/>
  <c r="S13" i="2" s="1"/>
  <c r="R23" i="2"/>
  <c r="S23" i="2" s="1"/>
  <c r="R35" i="2"/>
  <c r="S35" i="2" s="1"/>
  <c r="R50" i="2"/>
  <c r="S50" i="2" s="1"/>
  <c r="Q8" i="2"/>
  <c r="R8" i="2" s="1"/>
  <c r="S8" i="2" s="1"/>
  <c r="R43" i="2"/>
  <c r="S43" i="2" s="1"/>
  <c r="Q12" i="2"/>
  <c r="R12" i="2" s="1"/>
  <c r="S12" i="2" s="1"/>
  <c r="R55" i="2"/>
  <c r="S55" i="2" s="1"/>
  <c r="R24" i="2"/>
  <c r="S24" i="2" s="1"/>
  <c r="Q9" i="2"/>
  <c r="R9" i="2" s="1"/>
  <c r="S9" i="2" s="1"/>
  <c r="R36" i="2"/>
  <c r="S36" i="2" s="1"/>
  <c r="F57" i="2" l="1"/>
  <c r="H57" i="2" s="1"/>
  <c r="U57" i="2" s="1"/>
  <c r="F55" i="2"/>
  <c r="G57" i="2"/>
  <c r="G55" i="2"/>
  <c r="G51" i="2"/>
  <c r="G49" i="2"/>
  <c r="F51" i="2"/>
  <c r="G59" i="2"/>
  <c r="F59" i="2"/>
  <c r="F31" i="2"/>
  <c r="G31" i="2"/>
  <c r="F17" i="2"/>
  <c r="G17" i="2"/>
  <c r="G13" i="2"/>
  <c r="F9" i="2"/>
  <c r="H9" i="2" s="1"/>
  <c r="U9" i="2" s="1"/>
  <c r="G7" i="2"/>
  <c r="F3" i="2"/>
  <c r="F7" i="2"/>
  <c r="G3" i="2"/>
  <c r="T70" i="2"/>
  <c r="T150" i="2"/>
  <c r="T86" i="2"/>
  <c r="T201" i="2"/>
  <c r="T102" i="2"/>
  <c r="T118" i="2"/>
  <c r="T98" i="2"/>
  <c r="T134" i="2"/>
  <c r="T139" i="2"/>
  <c r="T104" i="2"/>
  <c r="T171" i="2"/>
  <c r="T146" i="2"/>
  <c r="T163" i="2"/>
  <c r="T196" i="2"/>
  <c r="T195" i="2"/>
  <c r="T142" i="2"/>
  <c r="T90" i="2"/>
  <c r="T97" i="2"/>
  <c r="T83" i="2"/>
  <c r="T82" i="2"/>
  <c r="T74" i="2"/>
  <c r="T115" i="2"/>
  <c r="T176" i="2"/>
  <c r="T168" i="2"/>
  <c r="T110" i="2"/>
  <c r="T162" i="2"/>
  <c r="T65" i="2"/>
  <c r="T148" i="2"/>
  <c r="T170" i="2"/>
  <c r="T89" i="2"/>
  <c r="T185" i="2"/>
  <c r="T135" i="2"/>
  <c r="T122" i="2"/>
  <c r="T204" i="2"/>
  <c r="T129" i="2"/>
  <c r="T202" i="2"/>
  <c r="T143" i="2"/>
  <c r="T141" i="2"/>
  <c r="T138" i="2"/>
  <c r="T186" i="2"/>
  <c r="T160" i="2"/>
  <c r="T197" i="2"/>
  <c r="T190" i="2"/>
  <c r="T91" i="2"/>
  <c r="T179" i="2"/>
  <c r="T156" i="2"/>
  <c r="T103" i="2"/>
  <c r="T77" i="2"/>
  <c r="T100" i="2"/>
  <c r="T80" i="2"/>
  <c r="T177" i="2"/>
  <c r="T107" i="2"/>
  <c r="T105" i="2"/>
  <c r="T157" i="2"/>
  <c r="T66" i="2"/>
  <c r="T88" i="2"/>
  <c r="T63" i="2"/>
  <c r="T147" i="2"/>
  <c r="T154" i="2"/>
  <c r="T200" i="2"/>
  <c r="T85" i="2"/>
  <c r="T184" i="2"/>
  <c r="T92" i="2"/>
  <c r="T130" i="2"/>
  <c r="T93" i="2"/>
  <c r="T123" i="2"/>
  <c r="T72" i="2"/>
  <c r="T113" i="2"/>
  <c r="T111" i="2"/>
  <c r="T68" i="2"/>
  <c r="T172" i="2"/>
  <c r="T199" i="2"/>
  <c r="T173" i="2"/>
  <c r="T182" i="2"/>
  <c r="T145" i="2"/>
  <c r="T95" i="2"/>
  <c r="T175" i="2"/>
  <c r="T75" i="2"/>
  <c r="T180" i="2"/>
  <c r="T188" i="2"/>
  <c r="T99" i="2"/>
  <c r="T108" i="2"/>
  <c r="T193" i="2"/>
  <c r="T198" i="2"/>
  <c r="T183" i="2"/>
  <c r="T132" i="2"/>
  <c r="T127" i="2"/>
  <c r="T116" i="2"/>
  <c r="T151" i="2"/>
  <c r="T133" i="2"/>
  <c r="T124" i="2"/>
  <c r="T126" i="2"/>
  <c r="T94" i="2"/>
  <c r="T81" i="2"/>
  <c r="T169" i="2"/>
  <c r="T165" i="2"/>
  <c r="T181" i="2"/>
  <c r="T69" i="2"/>
  <c r="T67" i="2"/>
  <c r="T87" i="2"/>
  <c r="T149" i="2"/>
  <c r="T121" i="2"/>
  <c r="T73" i="2"/>
  <c r="T192" i="2"/>
  <c r="T96" i="2"/>
  <c r="T62" i="2"/>
  <c r="T84" i="2"/>
  <c r="T136" i="2"/>
  <c r="T166" i="2"/>
  <c r="T131" i="2"/>
  <c r="T178" i="2"/>
  <c r="T106" i="2"/>
  <c r="T78" i="2"/>
  <c r="T101" i="2"/>
  <c r="T205" i="2"/>
  <c r="T128" i="2"/>
  <c r="T203" i="2"/>
  <c r="T140" i="2"/>
  <c r="T144" i="2"/>
  <c r="T167" i="2"/>
  <c r="T189" i="2"/>
  <c r="T194" i="2"/>
  <c r="T174" i="2"/>
  <c r="T191" i="2"/>
  <c r="T155" i="2"/>
  <c r="T153" i="2"/>
  <c r="T152" i="2"/>
  <c r="T125" i="2"/>
  <c r="T71" i="2"/>
  <c r="T119" i="2"/>
  <c r="T164" i="2"/>
  <c r="T158" i="2"/>
  <c r="T79" i="2"/>
  <c r="T120" i="2"/>
  <c r="T76" i="2"/>
  <c r="T117" i="2"/>
  <c r="T109" i="2"/>
  <c r="T114" i="2"/>
  <c r="T112" i="2"/>
  <c r="T137" i="2"/>
  <c r="T187" i="2"/>
  <c r="T161" i="2"/>
  <c r="T64" i="2"/>
  <c r="T159" i="2"/>
  <c r="G48" i="2"/>
  <c r="G25" i="2"/>
  <c r="G18" i="2"/>
  <c r="G11" i="2"/>
  <c r="F29" i="2"/>
  <c r="F43" i="2"/>
  <c r="F12" i="2"/>
  <c r="G23" i="2"/>
  <c r="G20" i="2"/>
  <c r="G29" i="2"/>
  <c r="F53" i="2"/>
  <c r="F41" i="2"/>
  <c r="F24" i="2"/>
  <c r="H24" i="2" s="1"/>
  <c r="U24" i="2" s="1"/>
  <c r="F45" i="2"/>
  <c r="G50" i="2"/>
  <c r="F20" i="2"/>
  <c r="G43" i="2"/>
  <c r="G12" i="2"/>
  <c r="F21" i="2"/>
  <c r="H21" i="2" s="1"/>
  <c r="U21" i="2" s="1"/>
  <c r="G45" i="2"/>
  <c r="F48" i="2"/>
  <c r="F25" i="2"/>
  <c r="F18" i="2"/>
  <c r="F23" i="2"/>
  <c r="G52" i="2"/>
  <c r="G53" i="2"/>
  <c r="G41" i="2"/>
  <c r="G19" i="2"/>
  <c r="H19" i="2" s="1"/>
  <c r="U19" i="2" s="1"/>
  <c r="G44" i="2"/>
  <c r="H44" i="2" s="1"/>
  <c r="U44" i="2" s="1"/>
  <c r="G5" i="2"/>
  <c r="H5" i="2" s="1"/>
  <c r="U5" i="2" s="1"/>
  <c r="G46" i="2"/>
  <c r="H46" i="2" s="1"/>
  <c r="U46" i="2" s="1"/>
  <c r="G60" i="2"/>
  <c r="H60" i="2" s="1"/>
  <c r="U60" i="2" s="1"/>
  <c r="G15" i="2"/>
  <c r="H15" i="2" s="1"/>
  <c r="U15" i="2" s="1"/>
  <c r="G56" i="2"/>
  <c r="H56" i="2" s="1"/>
  <c r="U56" i="2" s="1"/>
  <c r="G27" i="2"/>
  <c r="H27" i="2" s="1"/>
  <c r="U27" i="2" s="1"/>
  <c r="G42" i="2"/>
  <c r="H42" i="2" s="1"/>
  <c r="U42" i="2" s="1"/>
  <c r="G30" i="2"/>
  <c r="H30" i="2" s="1"/>
  <c r="U30" i="2" s="1"/>
  <c r="G14" i="2"/>
  <c r="H14" i="2" s="1"/>
  <c r="U14" i="2" s="1"/>
  <c r="G26" i="2"/>
  <c r="H26" i="2" s="1"/>
  <c r="U26" i="2" s="1"/>
  <c r="F13" i="2"/>
  <c r="F16" i="2"/>
  <c r="H16" i="2" s="1"/>
  <c r="U16" i="2" s="1"/>
  <c r="F6" i="2"/>
  <c r="H6" i="2" s="1"/>
  <c r="U6" i="2" s="1"/>
  <c r="F49" i="2"/>
  <c r="F58" i="2"/>
  <c r="H58" i="2" s="1"/>
  <c r="U58" i="2" s="1"/>
  <c r="F11" i="2"/>
  <c r="F47" i="2"/>
  <c r="H47" i="2" s="1"/>
  <c r="U47" i="2" s="1"/>
  <c r="F8" i="2"/>
  <c r="H8" i="2" s="1"/>
  <c r="U8" i="2" s="1"/>
  <c r="F52" i="2"/>
  <c r="F50" i="2"/>
  <c r="H54" i="2"/>
  <c r="U54" i="2" s="1"/>
  <c r="H10" i="2"/>
  <c r="U10" i="2" s="1"/>
  <c r="H4" i="2"/>
  <c r="U4" i="2" s="1"/>
  <c r="H40" i="2"/>
  <c r="U40" i="2" s="1"/>
  <c r="H28" i="2"/>
  <c r="U28" i="2" s="1"/>
  <c r="H49" i="2" l="1"/>
  <c r="U49" i="2" s="1"/>
  <c r="H55" i="2"/>
  <c r="U55" i="2" s="1"/>
  <c r="H51" i="2"/>
  <c r="U51" i="2" s="1"/>
  <c r="H59" i="2"/>
  <c r="U59" i="2" s="1"/>
  <c r="H17" i="2"/>
  <c r="U17" i="2" s="1"/>
  <c r="H31" i="2"/>
  <c r="U31" i="2" s="1"/>
  <c r="H13" i="2"/>
  <c r="U13" i="2" s="1"/>
  <c r="H18" i="2"/>
  <c r="U18" i="2" s="1"/>
  <c r="H25" i="2"/>
  <c r="U25" i="2" s="1"/>
  <c r="H7" i="2"/>
  <c r="U7" i="2" s="1"/>
  <c r="H3" i="2"/>
  <c r="U3" i="2" s="1"/>
  <c r="H12" i="2"/>
  <c r="U12" i="2" s="1"/>
  <c r="H48" i="2"/>
  <c r="U48" i="2" s="1"/>
  <c r="H11" i="2"/>
  <c r="U11" i="2" s="1"/>
  <c r="H29" i="2"/>
  <c r="U29" i="2" s="1"/>
  <c r="H43" i="2"/>
  <c r="U43" i="2" s="1"/>
  <c r="H50" i="2"/>
  <c r="U50" i="2" s="1"/>
  <c r="H41" i="2"/>
  <c r="U41" i="2" s="1"/>
  <c r="H20" i="2"/>
  <c r="U20" i="2" s="1"/>
  <c r="H45" i="2"/>
  <c r="U45" i="2" s="1"/>
  <c r="H23" i="2"/>
  <c r="U23" i="2" s="1"/>
  <c r="H53" i="2"/>
  <c r="U53" i="2" s="1"/>
  <c r="H52" i="2"/>
  <c r="U5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tc={62C697C8-63CF-47A2-A2A9-667629E9E72B}</author>
  </authors>
  <commentList>
    <comment ref="B10" authorId="0" shapeId="0" xr:uid="{62C697C8-63CF-47A2-A2A9-667629E9E72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Step 1
Right click any number in:
2027 Season Ranking Points column
Choose:
Sort
→ More Sort Options
Choose:
Descending (Z to A) by:
Sum of 2027 Season Ranking Points
Press:
More Options
Make sure:
AutoSort is ON 
Press OK.
That gives you the primary sort.
Step 2: add the tiebreaker sort
This is the annoying Excel bit:
PivotTables do NOT naturally support true multi-column sorts very well.
So the BEST solution is actually this:
BEST PRACTICAL SOLUTION
Create a helper column in your source data called something like:
Ranking Sort Value
Formula:
=[@[2027 Season Ranking Points]]+([@[Goal Difference]]/1000)
Example:
29.25 points + GD 45
becomes: 
29.295 
while:
29.25 points + GD 19
becomes: 
29.269 
So the points remain dominant, but goal difference becomes the tiebreaker automatically.
Then:
Use THAT field in the PivotTable instead of the raw ranking points for sorting purposes.
You can still DISPLAY the original ranking points column.
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<sst xmlns="http://schemas.openxmlformats.org/spreadsheetml/2006/main" count="1084" uniqueCount="214">
  <si>
    <t>Group</t>
  </si>
  <si>
    <t>SF</t>
  </si>
  <si>
    <t>Medal</t>
  </si>
  <si>
    <t>Win</t>
  </si>
  <si>
    <t>Loss</t>
  </si>
  <si>
    <t>Draw</t>
  </si>
  <si>
    <t>Finals Placement</t>
  </si>
  <si>
    <t>Qualifier Placement</t>
  </si>
  <si>
    <t>Finals Group Stage</t>
  </si>
  <si>
    <t>Qualifier Group Stage</t>
  </si>
  <si>
    <t>Match Type</t>
  </si>
  <si>
    <t>Result</t>
  </si>
  <si>
    <t>Points</t>
  </si>
  <si>
    <t>Qualifier Placement in OT or Extra Throws</t>
  </si>
  <si>
    <t>Finals Placement in OT or Extra Throws</t>
  </si>
  <si>
    <t>Finals QF/SF/Medal</t>
  </si>
  <si>
    <t>Location</t>
  </si>
  <si>
    <t>Team</t>
  </si>
  <si>
    <t>Fen Tigers</t>
  </si>
  <si>
    <t>CSAVH Lyon</t>
  </si>
  <si>
    <t>Northern Allstars</t>
  </si>
  <si>
    <t>BSI Copenhagen</t>
  </si>
  <si>
    <t>Ha. Vi. 2 Bruxelles</t>
  </si>
  <si>
    <t>Old Power</t>
  </si>
  <si>
    <t>FC Porto</t>
  </si>
  <si>
    <t>CA Cultural</t>
  </si>
  <si>
    <t>Aarhus Goalball</t>
  </si>
  <si>
    <t>Row Labels</t>
  </si>
  <si>
    <t>Event</t>
  </si>
  <si>
    <t>Event Stage</t>
  </si>
  <si>
    <t>Qualifier QF/SF/Medal</t>
  </si>
  <si>
    <t>Qualifier QF/SF/Medal in OT or Extra Throws</t>
  </si>
  <si>
    <t>Finals QF/SF/Medal in OT or Extra Throws</t>
  </si>
  <si>
    <t>Match ID</t>
  </si>
  <si>
    <t>ASCND Marseille</t>
  </si>
  <si>
    <t>Placement</t>
  </si>
  <si>
    <t>Match Result</t>
  </si>
  <si>
    <t>Sporting CP</t>
  </si>
  <si>
    <t>Invasport Ukraine</t>
  </si>
  <si>
    <t>NGA Lions</t>
  </si>
  <si>
    <t>GC Perun</t>
  </si>
  <si>
    <t>Ranking</t>
  </si>
  <si>
    <t>ONCE Catalunya</t>
  </si>
  <si>
    <t>BRUK-BET Termalica Krakow</t>
  </si>
  <si>
    <t>Aisti Sport</t>
  </si>
  <si>
    <t>Cankaya</t>
  </si>
  <si>
    <t>Kleio Thessaloniki</t>
  </si>
  <si>
    <t>GC Nais</t>
  </si>
  <si>
    <t>Club Fenix</t>
  </si>
  <si>
    <t>IFAS Stockholm</t>
  </si>
  <si>
    <t>RGC Hansa</t>
  </si>
  <si>
    <t>Nilüfer Buges</t>
  </si>
  <si>
    <t>FSBU Gothenburg</t>
  </si>
  <si>
    <t>Füchse Berlin</t>
  </si>
  <si>
    <t>Näpäjä</t>
  </si>
  <si>
    <t>ASD Omero Bergamo</t>
  </si>
  <si>
    <t>SSG Blista Marburg</t>
  </si>
  <si>
    <t>2025 Total Points</t>
  </si>
  <si>
    <t>2026 Total Points</t>
  </si>
  <si>
    <t>2027 Total Points</t>
  </si>
  <si>
    <t>Special Points</t>
  </si>
  <si>
    <t>2027 Season Ranking Points</t>
  </si>
  <si>
    <t>(All)</t>
  </si>
  <si>
    <t>1st Team</t>
  </si>
  <si>
    <t>Score</t>
  </si>
  <si>
    <t>2nd Goal Number</t>
  </si>
  <si>
    <t>1st Goal Number</t>
  </si>
  <si>
    <t>Sum of Scored</t>
  </si>
  <si>
    <t>Sum of Let In</t>
  </si>
  <si>
    <t>Ranking Points</t>
  </si>
  <si>
    <t>Goal Difference</t>
  </si>
  <si>
    <t>Sum of Goal Difference</t>
  </si>
  <si>
    <t>MAKE SURE NAMES AS CONSISTENT (i.e RGC Hansa. Not RGC Hansa Rostock</t>
  </si>
  <si>
    <t>GC Nikšić</t>
  </si>
  <si>
    <t>Make sure names are consistent with naming conventions (hidden tab)</t>
  </si>
  <si>
    <t>Make sure spacings are consistent</t>
  </si>
  <si>
    <t>2027 Ranking Sort Value</t>
  </si>
  <si>
    <t>Sum of 2027 Ranking Sort Value</t>
  </si>
  <si>
    <t>The Ranking Sort Value is really important</t>
  </si>
  <si>
    <t>Qualifier no QF/SF/Medal - 1st Place Compensation Points</t>
  </si>
  <si>
    <t>Qualifier no QF/SF/Medal - 2nd Place Compensation Points</t>
  </si>
  <si>
    <t>Qualifier no QF/SF/Medal - 3rd Place Compensation Points</t>
  </si>
  <si>
    <t>Host team of the current season’s Final Stage</t>
  </si>
  <si>
    <t>Host team of the Previous Season’s Final Stage</t>
  </si>
  <si>
    <t>Qualification Points</t>
  </si>
  <si>
    <t>Finals Points</t>
  </si>
  <si>
    <t>Type of Points</t>
  </si>
  <si>
    <t>Points Awarded</t>
  </si>
  <si>
    <t>Goals Scored</t>
  </si>
  <si>
    <t>Goals Conceded</t>
  </si>
  <si>
    <t>Goal Difference.</t>
  </si>
  <si>
    <t>Goals Made</t>
  </si>
  <si>
    <t>Goals Missed</t>
  </si>
  <si>
    <t>Game for Average GD?</t>
  </si>
  <si>
    <t>Games Played</t>
  </si>
  <si>
    <t>Average Goal Difference per Game</t>
  </si>
  <si>
    <t>Pivot Table that feeds the ranking table is hidden so needs unhiding and refreshing</t>
  </si>
  <si>
    <t>Kahramanmaras</t>
  </si>
  <si>
    <t>FIFH Malmo</t>
  </si>
  <si>
    <t>GC Golden Flash</t>
  </si>
  <si>
    <t>USV Hercules</t>
  </si>
  <si>
    <t>USV Hercules – Old Power 8-14</t>
  </si>
  <si>
    <t>RGC Hansa – GC Golden Flash 4-1</t>
  </si>
  <si>
    <t>CSAVH Lyon – Näpäjä 5-12</t>
  </si>
  <si>
    <t>Füchse Berlin – Kleio Thessaloniki 8-1</t>
  </si>
  <si>
    <t>25_BE_G01</t>
  </si>
  <si>
    <t>25_BE_G02</t>
  </si>
  <si>
    <t>25_BE_G03</t>
  </si>
  <si>
    <t>25_BE_G04</t>
  </si>
  <si>
    <t>25_BE_G05</t>
  </si>
  <si>
    <t>25_BE_G06</t>
  </si>
  <si>
    <t>25_BE_G07</t>
  </si>
  <si>
    <t>25_BE_G08</t>
  </si>
  <si>
    <t>25_BE_G09</t>
  </si>
  <si>
    <t>25_BE_G10</t>
  </si>
  <si>
    <t>25_BE_G11</t>
  </si>
  <si>
    <t>25_BE_G12</t>
  </si>
  <si>
    <t>25_BE_G13</t>
  </si>
  <si>
    <t>25_BE_G14</t>
  </si>
  <si>
    <t>25_BE_G15</t>
  </si>
  <si>
    <t>25_BE_G16</t>
  </si>
  <si>
    <t>25_BE_G17</t>
  </si>
  <si>
    <t>25_BE_G18</t>
  </si>
  <si>
    <t>25_BE_G19</t>
  </si>
  <si>
    <t>25_BE_G20</t>
  </si>
  <si>
    <t>25_BE_G21</t>
  </si>
  <si>
    <t>25_BE_G22</t>
  </si>
  <si>
    <t>25_BE_G23</t>
  </si>
  <si>
    <t>25_BE_G24</t>
  </si>
  <si>
    <t>25_BE_G25</t>
  </si>
  <si>
    <t>25_BE_G26</t>
  </si>
  <si>
    <t>25_BE_G27</t>
  </si>
  <si>
    <t>25_BE_G28</t>
  </si>
  <si>
    <t>25_BE_G29</t>
  </si>
  <si>
    <t>FIFH Malmo – USV Hercules 8-6</t>
  </si>
  <si>
    <t>Old Power – RGC Hansa 2-3</t>
  </si>
  <si>
    <t>Näpäjä – Füchse Berlin 4-11</t>
  </si>
  <si>
    <t>GC Golden Flash – FIFH Malmo 4-5</t>
  </si>
  <si>
    <t>Kahramanmaras – CSAVH Lyon 12-2</t>
  </si>
  <si>
    <t>RGC Hansa – USV Hercules 5-5</t>
  </si>
  <si>
    <t>Old Power – FIFH Malmo 3-4</t>
  </si>
  <si>
    <t>Füchse Berlin – CSAVH Lyon 8-2</t>
  </si>
  <si>
    <t>Näpäjä – Kahramanmaras 2-8</t>
  </si>
  <si>
    <t>USV Hercules – GC Golden Flash 4-5</t>
  </si>
  <si>
    <t>FIFH Malmo – RGC Hansa 9-2</t>
  </si>
  <si>
    <t>CSAVH Lyon – Kleio Thessaloniki 0-3</t>
  </si>
  <si>
    <t>Kahramanmaras – Füchse Berlin 7-5</t>
  </si>
  <si>
    <t>GC Golden Flash – Old Power 1-5</t>
  </si>
  <si>
    <t>Kleio Thessaloniki – Näpäjä 1-6</t>
  </si>
  <si>
    <t>Kleio Thessaloniki – Kahramanmaras 0-8</t>
  </si>
  <si>
    <t>Old Power – Kleio Thessaloniki 1-2</t>
  </si>
  <si>
    <t>Näpäjä – GC Golden Flash 4-3</t>
  </si>
  <si>
    <t>FIFH Malmo – Füchse Berlin 1-3</t>
  </si>
  <si>
    <t>Kahramanmaras – RGC Hansa 6-2</t>
  </si>
  <si>
    <t>USV Hercules – CSAVH Lyon 15-7</t>
  </si>
  <si>
    <t>Old Power – GC Golden Flash 4-2</t>
  </si>
  <si>
    <t>Kleio Thessaloniki – Näpäjä 0-4</t>
  </si>
  <si>
    <t>Füchse Berlin – Kahramanmaras 4-1</t>
  </si>
  <si>
    <t>FIFH Malmo – RGC Hansa 6-3</t>
  </si>
  <si>
    <t>2025 EWCL</t>
  </si>
  <si>
    <t>Berlin</t>
  </si>
  <si>
    <t>2026 EWCL</t>
  </si>
  <si>
    <t>Rostock</t>
  </si>
  <si>
    <t>26_RS_G01</t>
  </si>
  <si>
    <t>26_RS_G02</t>
  </si>
  <si>
    <t>26_RS_G03</t>
  </si>
  <si>
    <t>26_RS_G04</t>
  </si>
  <si>
    <t>26_RS_G05</t>
  </si>
  <si>
    <t>26_RS_G06</t>
  </si>
  <si>
    <t>26_RS_G07</t>
  </si>
  <si>
    <t>26_RS_G08</t>
  </si>
  <si>
    <t>26_RS_G09</t>
  </si>
  <si>
    <t>26_RS_G10</t>
  </si>
  <si>
    <t>26_RS_G11</t>
  </si>
  <si>
    <t>26_RS_G12</t>
  </si>
  <si>
    <t>26_RS_G13</t>
  </si>
  <si>
    <t>26_RS_G14</t>
  </si>
  <si>
    <t>26_RS_G15</t>
  </si>
  <si>
    <t>26_RS_G16</t>
  </si>
  <si>
    <t>26_RS_G17</t>
  </si>
  <si>
    <t>26_RS_G18</t>
  </si>
  <si>
    <t>26_RS_G19</t>
  </si>
  <si>
    <t>26_RS_G20</t>
  </si>
  <si>
    <t>26_RS_G21</t>
  </si>
  <si>
    <t>26_RS_G22</t>
  </si>
  <si>
    <t>26_RS_G23</t>
  </si>
  <si>
    <t>26_RS_G24</t>
  </si>
  <si>
    <t>Füchse Berlin – Isparta 6-8</t>
  </si>
  <si>
    <t>Old Power – USV Hercules 8-5</t>
  </si>
  <si>
    <t>Kahramanmaras – RGC Hansa 3-5</t>
  </si>
  <si>
    <t>RGC Hansa – FIFH Malmo 7-4</t>
  </si>
  <si>
    <t>USV Hercules – Füchse Berlin 8-3</t>
  </si>
  <si>
    <t>Isparta – Old Power 5-10</t>
  </si>
  <si>
    <t>FIFH Malmo – Kahramanmaras 5-9</t>
  </si>
  <si>
    <t>USV Hercules – Isparta 4-5</t>
  </si>
  <si>
    <t>Füchse Berlin – Old Power 0-10</t>
  </si>
  <si>
    <t>RGC Hansa – Füchse Berlin 11-1</t>
  </si>
  <si>
    <t>Isparta – FIFH Malmo 1-6</t>
  </si>
  <si>
    <t>Kahramanmaras – USV Hercules 14-6</t>
  </si>
  <si>
    <t>Isparta – Füchse Berlin 3-9</t>
  </si>
  <si>
    <t>Old Power – FIFH Malmo 3-1</t>
  </si>
  <si>
    <t>RGC Hansa Rostock – Kahramanmaras 2-4</t>
  </si>
  <si>
    <t>Isparta – USV Hercules 1-11</t>
  </si>
  <si>
    <t>FIFH Malmo – RGC Hansa Rostock 4-6</t>
  </si>
  <si>
    <t>Old Power – Kahramanmaras 2-1</t>
  </si>
  <si>
    <t>Isparta</t>
  </si>
  <si>
    <t>QF</t>
  </si>
  <si>
    <t>FIFH Malmo – GC Golden Flash 9-4</t>
  </si>
  <si>
    <t>GC Golden Flash – Kahramanmaras 2-7</t>
  </si>
  <si>
    <t>RGC Hansa – GC Golden Flash 4-3</t>
  </si>
  <si>
    <t>Old Power – GC Golden Flash 9-4</t>
  </si>
  <si>
    <t>USV Hercules – GC Golden Flash 0-3</t>
  </si>
  <si>
    <t>Füchse Berlin – GC Golden Flash 7-4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</si>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</sst>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theme="1"/>
      <name val="Aptos"/>
      <family val="2"/>
    </font>
    <font>
      <b/>
      <sz val="12"/>
      <color rgb="FF000000"/>
      <name val="Aptos Narrow"/>
      <family val="2"/>
      <scheme val="minor"/>
    </font>
    <font>
      <sz val="12"/>
      <color theme="1"/>
      <name val="Aptos"/>
      <family val="2"/>
    </font>
    <font>
      <sz val="11"/>
      <color theme="4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9"/>
      <color rgb="FF11111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1" fontId="0" fillId="0" borderId="0" xfId="0" applyNumberFormat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left"/>
    </xf>
    <xf numFmtId="0" fontId="1" fillId="0" borderId="0" xfId="0" applyFont="1"/>
    <xf numFmtId="2" fontId="7" fillId="0" borderId="1" xfId="0" applyNumberFormat="1" applyFont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0" borderId="4" xfId="0" applyBorder="1"/>
    <xf numFmtId="2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0" fontId="9" fillId="0" borderId="0" xfId="0" applyFont="1"/>
    <xf numFmtId="0" fontId="1" fillId="0" borderId="0" xfId="0" applyFont="1" applyAlignment="1">
      <alignment horizontal="left"/>
    </xf>
    <xf numFmtId="0" fontId="0" fillId="3" borderId="1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vertic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2" fontId="0" fillId="0" borderId="7" xfId="0" applyNumberFormat="1" applyBorder="1"/>
    <xf numFmtId="0" fontId="2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10" xfId="0" applyBorder="1"/>
    <xf numFmtId="0" fontId="0" fillId="0" borderId="4" xfId="0" applyBorder="1" applyAlignment="1">
      <alignment horizontal="left"/>
    </xf>
    <xf numFmtId="2" fontId="0" fillId="5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0" fillId="0" borderId="11" xfId="0" applyNumberFormat="1" applyBorder="1"/>
    <xf numFmtId="0" fontId="16" fillId="4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1" fontId="17" fillId="7" borderId="0" xfId="0" applyNumberFormat="1" applyFont="1" applyFill="1" applyAlignment="1">
      <alignment horizontal="center" vertical="center" wrapText="1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0" fillId="0" borderId="0" xfId="0" applyProtection="1">
      <protection locked="0"/>
    </xf>
    <xf numFmtId="0" fontId="18" fillId="6" borderId="0" xfId="0" applyFont="1" applyFill="1" applyAlignment="1" applyProtection="1">
      <alignment vertical="center"/>
      <protection locked="0"/>
    </xf>
    <xf numFmtId="0" fontId="18" fillId="6" borderId="0" xfId="0" applyFont="1" applyFill="1" applyAlignment="1" applyProtection="1">
      <alignment horizontal="center" vertical="center" wrapText="1"/>
      <protection locked="0"/>
    </xf>
    <xf numFmtId="0" fontId="19" fillId="0" borderId="1" xfId="0" applyFont="1" applyBorder="1"/>
    <xf numFmtId="0" fontId="15" fillId="0" borderId="1" xfId="0" applyFont="1" applyBorder="1"/>
    <xf numFmtId="0" fontId="1" fillId="0" borderId="1" xfId="0" applyFont="1" applyBorder="1"/>
    <xf numFmtId="0" fontId="16" fillId="0" borderId="0" xfId="0" applyFont="1" applyAlignment="1">
      <alignment vertical="center" wrapText="1"/>
    </xf>
    <xf numFmtId="2" fontId="16" fillId="0" borderId="0" xfId="0" applyNumberFormat="1" applyFont="1" applyAlignment="1">
      <alignment horizontal="center" vertical="center" wrapText="1"/>
    </xf>
    <xf numFmtId="2" fontId="16" fillId="7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6" fillId="0" borderId="0" xfId="0" pivotButton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7" borderId="0" xfId="0" applyFont="1" applyFill="1" applyAlignment="1">
      <alignment horizontal="left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/>
    </xf>
    <xf numFmtId="1" fontId="16" fillId="7" borderId="0" xfId="0" applyNumberFormat="1" applyFont="1" applyFill="1" applyAlignment="1">
      <alignment horizontal="center"/>
    </xf>
    <xf numFmtId="1" fontId="17" fillId="0" borderId="12" xfId="0" applyNumberFormat="1" applyFont="1" applyBorder="1" applyAlignment="1">
      <alignment horizontal="center" vertical="center" wrapText="1"/>
    </xf>
    <xf numFmtId="1" fontId="17" fillId="7" borderId="12" xfId="0" applyNumberFormat="1" applyFont="1" applyFill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2" fontId="17" fillId="7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  <xf numFmtId="164" fontId="0" fillId="0" borderId="7" xfId="0" applyNumberFormat="1" applyBorder="1"/>
    <xf numFmtId="164" fontId="16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0" fontId="11" fillId="0" borderId="0" xfId="0" pivotButton="1" applyFont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2" fontId="11" fillId="0" borderId="0" xfId="0" applyNumberFormat="1" applyFont="1" applyProtection="1">
      <protection locked="0"/>
    </xf>
    <xf numFmtId="0" fontId="11" fillId="0" borderId="0" xfId="0" applyFont="1" applyAlignment="1" applyProtection="1">
      <alignment horizontal="left" indent="1"/>
      <protection locked="0"/>
    </xf>
    <xf numFmtId="0" fontId="11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131">
    <dxf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</dxf>
    <dxf>
      <alignment wrapText="1"/>
    </dxf>
    <dxf>
      <alignment vertical="center"/>
    </dxf>
    <dxf>
      <alignment horizontal="center"/>
    </dxf>
    <dxf>
      <alignment horizontal="center"/>
    </dxf>
    <dxf>
      <alignment wrapText="1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numFmt numFmtId="1" formatCode="0"/>
    </dxf>
    <dxf>
      <numFmt numFmtId="1" formatCode="0"/>
    </dxf>
    <dxf>
      <alignment wrapText="1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alignment vertical="center"/>
    </dxf>
    <dxf>
      <alignment vertical="center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64" formatCode="0.000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Aptos Narrow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fill>
        <patternFill patternType="solid">
          <fgColor indexed="64"/>
          <bgColor theme="0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b/>
      </font>
    </dxf>
    <dxf>
      <font>
        <color theme="0"/>
      </font>
    </dxf>
    <dxf>
      <fill>
        <patternFill patternType="solid">
          <bgColor rgb="FF002060"/>
        </patternFill>
      </fill>
    </dxf>
    <dxf>
      <numFmt numFmtId="2" formatCode="0.0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2" formatCode="0.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color rgb="FFFF0000"/>
      </font>
    </dxf>
    <dxf>
      <font>
        <color theme="0"/>
      </font>
      <fill>
        <patternFill>
          <bgColor rgb="FF002060"/>
        </patternFill>
      </fill>
    </dxf>
  </dxfs>
  <tableStyles count="1" defaultTableStyle="TableStyleMedium2" defaultPivotStyle="PivotStyleLight16">
    <tableStyle name="Accessible Table" table="0" count="2" xr9:uid="{D34EE4B7-01D9-4ABD-8B6E-1892EC12E636}">
      <tableStyleElement type="headerRow" dxfId="130"/>
      <tableStyleElement type="firstColumnSubheading" dxfId="1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66964</xdr:colOff>
      <xdr:row>4</xdr:row>
      <xdr:rowOff>216476</xdr:rowOff>
    </xdr:from>
    <xdr:to>
      <xdr:col>8</xdr:col>
      <xdr:colOff>310861</xdr:colOff>
      <xdr:row>19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F8105F-C5F5-4D2F-BF61-9BC08BEE526C}"/>
            </a:ext>
          </a:extLst>
        </xdr:cNvPr>
        <xdr:cNvSpPr txBox="1"/>
      </xdr:nvSpPr>
      <xdr:spPr>
        <a:xfrm>
          <a:off x="7574396" y="1238249"/>
          <a:ext cx="3543010" cy="3125933"/>
        </a:xfrm>
        <a:prstGeom prst="rect">
          <a:avLst/>
        </a:prstGeom>
        <a:ln w="57150" cmpd="tri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r>
            <a:rPr lang="en-GB" sz="2400" b="1"/>
            <a:t>EGCA Champions</a:t>
          </a:r>
          <a:r>
            <a:rPr lang="en-GB" sz="2400" b="1" baseline="0"/>
            <a:t> League:</a:t>
          </a:r>
        </a:p>
        <a:p>
          <a:pPr algn="ctr"/>
          <a:r>
            <a:rPr lang="en-GB" sz="2400" b="1" baseline="0"/>
            <a:t>Points Allocated per Game </a:t>
          </a:r>
        </a:p>
        <a:p>
          <a:pPr algn="ctr"/>
          <a:endParaRPr lang="en-GB" sz="2400" b="1"/>
        </a:p>
      </xdr:txBody>
    </xdr:sp>
    <xdr:clientData/>
  </xdr:twoCellAnchor>
  <xdr:twoCellAnchor editAs="oneCell">
    <xdr:from>
      <xdr:col>6</xdr:col>
      <xdr:colOff>724190</xdr:colOff>
      <xdr:row>5</xdr:row>
      <xdr:rowOff>121227</xdr:rowOff>
    </xdr:from>
    <xdr:to>
      <xdr:col>7</xdr:col>
      <xdr:colOff>171162</xdr:colOff>
      <xdr:row>13</xdr:row>
      <xdr:rowOff>36946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CC491E-78C7-410D-876B-30620071D3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8" t="11991" r="808" b="10734"/>
        <a:stretch>
          <a:fillRect/>
        </a:stretch>
      </xdr:blipFill>
      <xdr:spPr>
        <a:xfrm>
          <a:off x="8292235" y="1359477"/>
          <a:ext cx="2139950" cy="16475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147203</xdr:colOff>
      <xdr:row>2</xdr:row>
      <xdr:rowOff>182419</xdr:rowOff>
    </xdr:from>
    <xdr:to>
      <xdr:col>26</xdr:col>
      <xdr:colOff>230618</xdr:colOff>
      <xdr:row>21</xdr:row>
      <xdr:rowOff>58305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342262-6DC7-7071-7EED-3157D659F08D}"/>
            </a:ext>
          </a:extLst>
        </xdr:cNvPr>
        <xdr:cNvSpPr txBox="1"/>
      </xdr:nvSpPr>
      <xdr:spPr>
        <a:xfrm>
          <a:off x="11100953" y="831851"/>
          <a:ext cx="6144779" cy="3659909"/>
        </a:xfrm>
        <a:prstGeom prst="rect">
          <a:avLst/>
        </a:prstGeom>
        <a:ln w="57150" cmpd="tri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800" b="1"/>
        </a:p>
        <a:p>
          <a:pPr algn="ctr"/>
          <a:r>
            <a:rPr lang="en-GB" sz="2400" b="1"/>
            <a:t>EGCA Champions</a:t>
          </a:r>
          <a:r>
            <a:rPr lang="en-GB" sz="2400" b="1" baseline="0"/>
            <a:t> League:</a:t>
          </a:r>
        </a:p>
        <a:p>
          <a:pPr algn="ctr"/>
          <a:r>
            <a:rPr lang="en-GB" sz="2400" b="1" baseline="0"/>
            <a:t>2027 Season Ranking</a:t>
          </a:r>
        </a:p>
        <a:p>
          <a:pPr algn="ctr"/>
          <a:endParaRPr lang="en-GB" sz="2400" b="1" baseline="0"/>
        </a:p>
        <a:p>
          <a:pPr algn="ctr"/>
          <a:endParaRPr lang="en-GB" sz="2400" b="1"/>
        </a:p>
      </xdr:txBody>
    </xdr:sp>
    <xdr:clientData/>
  </xdr:twoCellAnchor>
  <xdr:twoCellAnchor>
    <xdr:from>
      <xdr:col>11</xdr:col>
      <xdr:colOff>66099</xdr:colOff>
      <xdr:row>37</xdr:row>
      <xdr:rowOff>22803</xdr:rowOff>
    </xdr:from>
    <xdr:to>
      <xdr:col>20</xdr:col>
      <xdr:colOff>95250</xdr:colOff>
      <xdr:row>65</xdr:row>
      <xdr:rowOff>32906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6FBDB30-38A2-4768-9C74-0146EB083408}"/>
            </a:ext>
          </a:extLst>
        </xdr:cNvPr>
        <xdr:cNvSpPr txBox="1"/>
      </xdr:nvSpPr>
      <xdr:spPr>
        <a:xfrm>
          <a:off x="10309804" y="92076"/>
          <a:ext cx="5536332" cy="7292398"/>
        </a:xfrm>
        <a:prstGeom prst="rect">
          <a:avLst/>
        </a:prstGeom>
        <a:solidFill>
          <a:schemeClr val="lt1"/>
        </a:solidFill>
        <a:ln w="3810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EGCA Champions League: </a:t>
          </a:r>
          <a:b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2027 Season Ranking</a:t>
          </a:r>
          <a:endParaRPr lang="en-GB" sz="2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Ranking tie-breakers: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ranking order between teams is determined by the following criteria:</a:t>
          </a:r>
        </a:p>
        <a:p>
          <a:endParaRPr lang="en-GB" sz="1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 Total points collected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B. Difference between the average goals scored and average goals conceded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C. Average goals conceded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D. Column-by-column comparison starting from 6-point wins downwards. If in any column one team has more wins or draws, that team ranks higher</a:t>
          </a:r>
        </a:p>
        <a:p>
          <a:endParaRPr lang="en-GB" sz="1200"/>
        </a:p>
      </xdr:txBody>
    </xdr:sp>
    <xdr:clientData/>
  </xdr:twoCellAnchor>
  <xdr:twoCellAnchor editAs="oneCell">
    <xdr:from>
      <xdr:col>14</xdr:col>
      <xdr:colOff>19626</xdr:colOff>
      <xdr:row>38</xdr:row>
      <xdr:rowOff>110260</xdr:rowOff>
    </xdr:from>
    <xdr:to>
      <xdr:col>17</xdr:col>
      <xdr:colOff>107084</xdr:colOff>
      <xdr:row>44</xdr:row>
      <xdr:rowOff>144565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710076-12FB-43F2-86FF-CDF78D40C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8" t="11991" r="808" b="10734"/>
        <a:stretch>
          <a:fillRect/>
        </a:stretch>
      </xdr:blipFill>
      <xdr:spPr>
        <a:xfrm>
          <a:off x="12081740" y="915555"/>
          <a:ext cx="1954647" cy="1485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1295399</xdr:colOff>
      <xdr:row>3</xdr:row>
      <xdr:rowOff>6351</xdr:rowOff>
    </xdr:from>
    <xdr:to>
      <xdr:col>6</xdr:col>
      <xdr:colOff>1428750</xdr:colOff>
      <xdr:row>30</xdr:row>
      <xdr:rowOff>28576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C03902-C06A-5950-C9A4-FA8F4F590E83}"/>
            </a:ext>
          </a:extLst>
        </xdr:cNvPr>
        <xdr:cNvSpPr txBox="1"/>
      </xdr:nvSpPr>
      <xdr:spPr>
        <a:xfrm>
          <a:off x="6677024" y="501651"/>
          <a:ext cx="7210426" cy="5422900"/>
        </a:xfrm>
        <a:prstGeom prst="rect">
          <a:avLst/>
        </a:prstGeom>
        <a:solidFill>
          <a:schemeClr val="lt1"/>
        </a:solidFill>
        <a:ln w="3810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EGCA Champions League: </a:t>
          </a:r>
          <a:b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Ranking</a:t>
          </a:r>
          <a: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Points Awarded by Stage, by Season</a:t>
          </a:r>
          <a:r>
            <a:rPr lang="en-GB" sz="2800" b="1">
              <a:effectLst/>
            </a:rPr>
            <a:t> </a:t>
          </a:r>
          <a:endParaRPr lang="en-GB" sz="2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endParaRPr lang="en-GB" sz="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Select the Team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Find the cell labeled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(it’s in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B2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Click the dropdown cell next to it (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B3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Click the ▼ arrow and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 the Team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you want from the list.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✅ Once you pick a Team, the table below will update to show that team’s matches/points.</a:t>
          </a:r>
        </a:p>
        <a:p>
          <a:br>
            <a:rPr lang="en-GB" sz="1400"/>
          </a:b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Select the Event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Next, find the cell labeled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and click the dropdown cell (it's in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B4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Events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want.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✅ Once you pick an Event, the results/points will update again to match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both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selected Team and Event.</a:t>
          </a:r>
        </a:p>
        <a:p>
          <a:endParaRPr lang="en-GB" sz="14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GB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</a:t>
          </a:r>
          <a:r>
            <a:rPr lang="en-GB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Important to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Remember *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Every Champions League match played by a club during the current and previous seasons is included in the ranking. Points from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current season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are counted in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while only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50%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previous season's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points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are included. (The points displayed here</a:t>
          </a:r>
          <a:r>
            <a:rPr lang="en-GB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the full points. The 50% adjustment for the previous season is applied separately within the season ranking sheet)</a:t>
          </a:r>
          <a:endParaRPr lang="en-GB" sz="14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200"/>
        </a:p>
      </xdr:txBody>
    </xdr:sp>
    <xdr:clientData/>
  </xdr:twoCellAnchor>
  <xdr:twoCellAnchor editAs="oneCell">
    <xdr:from>
      <xdr:col>6</xdr:col>
      <xdr:colOff>234950</xdr:colOff>
      <xdr:row>3</xdr:row>
      <xdr:rowOff>66675</xdr:rowOff>
    </xdr:from>
    <xdr:to>
      <xdr:col>6</xdr:col>
      <xdr:colOff>1358901</xdr:colOff>
      <xdr:row>8</xdr:row>
      <xdr:rowOff>136350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6B5B2F-A0C6-406B-A581-10C024DA7D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4" t="11991" r="9251" b="10734"/>
        <a:stretch>
          <a:fillRect/>
        </a:stretch>
      </xdr:blipFill>
      <xdr:spPr>
        <a:xfrm>
          <a:off x="12550775" y="523875"/>
          <a:ext cx="1127126" cy="1069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vans, Emma" id="{8E3F57F9-E79C-4F31-A766-1420244998D8}" userId="Evans, Emma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ans, Emma" refreshedDate="46149.627040162035" createdVersion="8" refreshedVersion="8" minRefreshableVersion="3" recordCount="353" xr:uid="{F684FE04-BA69-434C-ADCD-BAD84FAE1241}">
  <cacheSource type="worksheet">
    <worksheetSource ref="A2:T205" sheet="4. Master Data"/>
  </cacheSource>
  <cacheFields count="19">
    <cacheField name="Event" numFmtId="0">
      <sharedItems count="4">
        <s v="2026 Qualification"/>
        <s v="2025 Qualification"/>
        <s v="2025 Finals"/>
        <s v="2026 Finals"/>
      </sharedItems>
    </cacheField>
    <cacheField name="Location" numFmtId="0">
      <sharedItems count="8">
        <s v="Barcelona"/>
        <s v="Peterborough"/>
        <s v="Nis"/>
        <s v="Odivelas"/>
        <s v="Rostock"/>
        <s v="Matosinhos"/>
        <s v="Podgorica"/>
        <s v="Berlin"/>
      </sharedItems>
    </cacheField>
    <cacheField name="Team" numFmtId="0">
      <sharedItems containsBlank="1" count="38">
        <s v="Aarhus Goalball"/>
        <s v="Aisti Sport"/>
        <s v="ASCND Marseille"/>
        <s v="ASD Omero Bergamo"/>
        <s v="BRUK-BET Termalica Krakow"/>
        <s v="BSI Copenhagen"/>
        <s v="CA Cultural"/>
        <s v="Cankaya"/>
        <s v="Club Fenix"/>
        <s v="CSAVH Lyon"/>
        <s v="FC Porto"/>
        <s v="Fen Tigers"/>
        <s v="FSBU Gothenburg"/>
        <s v="Füchse Berlin"/>
        <s v="GC Nais"/>
        <s v="GC Nikšić"/>
        <s v="GC Perun"/>
        <s v="Ha. Vi. 2 Bruxelles"/>
        <s v="IFAS Stockholm"/>
        <s v="Invasport Ukraine"/>
        <s v="Kleio Thessaloniki"/>
        <s v="Näpäjä"/>
        <s v="NGA Lions"/>
        <s v="Nilüfer Buges"/>
        <s v="Northern Allstars"/>
        <s v="Old Power"/>
        <s v="ONCE Catalunya"/>
        <s v="RGC Hansa"/>
        <s v="Sporting CP"/>
        <s v="SSG Blista Marburg"/>
        <s v="BSI" u="1"/>
        <s v="GC Niksic" u="1"/>
        <s v="Fuchse Berlin" u="1"/>
        <s v="ASD Omero Bergamo " u="1"/>
        <s v="FSBU Gothenburg " u="1"/>
        <s v="RGC Hansa " u="1"/>
        <s v="SSG Blista Marburg " u="1"/>
        <m u="1"/>
      </sharedItems>
    </cacheField>
    <cacheField name="Match ID" numFmtId="0">
      <sharedItems/>
    </cacheField>
    <cacheField name="Match Result" numFmtId="0">
      <sharedItems/>
    </cacheField>
    <cacheField name="Scored" numFmtId="1">
      <sharedItems containsSemiMixedTypes="0" containsString="0" containsNumber="1" containsInteger="1" minValue="0" maxValue="18"/>
    </cacheField>
    <cacheField name="Let In" numFmtId="1">
      <sharedItems containsSemiMixedTypes="0" containsString="0" containsNumber="1" containsInteger="1" minValue="0" maxValue="18"/>
    </cacheField>
    <cacheField name="Goal Difference" numFmtId="1">
      <sharedItems containsSemiMixedTypes="0" containsString="0" containsNumber="1" containsInteger="1" minValue="-10" maxValue="10"/>
    </cacheField>
    <cacheField name="1st Team" numFmtId="0">
      <sharedItems containsMixedTypes="1" containsNumber="1" containsInteger="1" minValue="0" maxValue="0"/>
    </cacheField>
    <cacheField name="Score" numFmtId="0">
      <sharedItems containsMixedTypes="1" containsNumber="1" containsInteger="1" minValue="0" maxValue="0"/>
    </cacheField>
    <cacheField name="1st Goal Number" numFmtId="0">
      <sharedItems containsSemiMixedTypes="0" containsString="0" containsNumber="1" containsInteger="1" minValue="0" maxValue="17"/>
    </cacheField>
    <cacheField name="2nd Goal Number" numFmtId="0">
      <sharedItems containsSemiMixedTypes="0" containsString="0" containsNumber="1" containsInteger="1" minValue="0" maxValue="18"/>
    </cacheField>
    <cacheField name="Event Stage" numFmtId="0">
      <sharedItems/>
    </cacheField>
    <cacheField name="Match Type" numFmtId="0">
      <sharedItems/>
    </cacheField>
    <cacheField name="Result" numFmtId="0">
      <sharedItems/>
    </cacheField>
    <cacheField name="Points" numFmtId="2">
      <sharedItems containsSemiMixedTypes="0" containsString="0" containsNumber="1" minValue="0" maxValue="15"/>
    </cacheField>
    <cacheField name="2025 Total Points" numFmtId="2">
      <sharedItems containsString="0" containsBlank="1" containsNumber="1" minValue="0" maxValue="15"/>
    </cacheField>
    <cacheField name="2026 Total Points" numFmtId="2">
      <sharedItems containsSemiMixedTypes="0" containsString="0" containsNumber="1" minValue="0" maxValue="15"/>
    </cacheField>
    <cacheField name="2027 Total Points" numFmtId="2">
      <sharedItems containsString="0" containsBlank="1" containsNumber="1" minValue="0" maxValue="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ans, Emma" refreshedDate="46287.890968634259" createdVersion="8" refreshedVersion="8" minRefreshableVersion="3" recordCount="204" xr:uid="{E14848A4-0BCF-4724-8858-8B6065A20B52}">
  <cacheSource type="worksheet">
    <worksheetSource ref="A2:T2420" sheet="4. Master Data"/>
  </cacheSource>
  <cacheFields count="20">
    <cacheField name="Event" numFmtId="0">
      <sharedItems containsBlank="1" count="7">
        <s v="2025 EWCL"/>
        <s v="2026 EWCL"/>
        <m/>
        <s v="2025 Finals" u="1"/>
        <s v="2025 Qualification" u="1"/>
        <s v="2026 Finals" u="1"/>
        <s v="2026 Qualification" u="1"/>
      </sharedItems>
    </cacheField>
    <cacheField name="Location" numFmtId="0">
      <sharedItems containsBlank="1"/>
    </cacheField>
    <cacheField name="Team" numFmtId="0">
      <sharedItems containsBlank="1" count="52">
        <s v="USV Hercules"/>
        <s v="Old Power"/>
        <s v="RGC Hansa"/>
        <s v="GC Golden Flash"/>
        <s v="CSAVH Lyon"/>
        <s v="Näpäjä"/>
        <s v="Füchse Berlin"/>
        <s v="Kleio Thessaloniki"/>
        <s v="FIFH Malmo"/>
        <s v="Kahramanmaras"/>
        <s v="Isparta"/>
        <m/>
        <s v="Gören Kalpler" u="1"/>
        <s v="Red Velvet Warriors Budapest" u="1"/>
        <s v="Isparta Blind Sports Club" u="1"/>
        <s v="BRUK-BET Termalica Krakow" u="1"/>
        <s v="FC Porto" u="1"/>
        <s v="GC Nikšić" u="1"/>
        <s v="Ha. Vi. 2 Bruxelles" u="1"/>
        <s v="NGA Lions" u="1"/>
        <s v="Nilüfer Buges" u="1"/>
        <s v="Aarhus Goalball" u="1"/>
        <s v="ASD Omero Bergamo" u="1"/>
        <s v="BSI Copenhagen" u="1"/>
        <s v="Fen Tigers" u="1"/>
        <s v="FSBU Gothenburg" u="1"/>
        <s v="GC Nais" u="1"/>
        <s v="GC Perun" u="1"/>
        <s v="IFAS Stockholm" u="1"/>
        <s v="Invasport Ukraine" u="1"/>
        <s v="Northern Allstars" u="1"/>
        <s v="Sporting CP" u="1"/>
        <s v="SSG Blista Marburg" u="1"/>
        <s v="Aisti Sport" u="1"/>
        <s v="ASCND Marseille" u="1"/>
        <s v="CA Cultural" u="1"/>
        <s v="Cankaya" u="1"/>
        <s v="Club Fenix" u="1"/>
        <s v="ONCE Catalunya" u="1"/>
        <s v="BSI" u="1"/>
        <s v="ASD Omero Bergamo " u="1"/>
        <s v="FSBU Gothenburg " u="1"/>
        <s v="Fuchse Berlin" u="1"/>
        <s v="GC Niksic" u="1"/>
        <s v="RGC Hansa " u="1"/>
        <s v="SSG Blista Marburg " u="1"/>
        <s v="Napaja" u="1"/>
        <s v="Nilufer Buges" u="1"/>
        <s v="PORTO HOSTING" u="1"/>
        <s v="ols" u="1"/>
        <s v="GC Perum" u="1"/>
        <s v="ASD Bergamo" u="1"/>
      </sharedItems>
    </cacheField>
    <cacheField name="Match ID" numFmtId="0">
      <sharedItems containsBlank="1"/>
    </cacheField>
    <cacheField name="Match Result" numFmtId="0">
      <sharedItems containsBlank="1" count="267">
        <s v="USV Hercules – Old Power 8-14"/>
        <s v="RGC Hansa – GC Golden Flash 4-1"/>
        <s v="CSAVH Lyon – Näpäjä 5-12"/>
        <s v="Füchse Berlin – Kleio Thessaloniki 8-1"/>
        <s v="FIFH Malmo – USV Hercules 8-6"/>
        <s v="Old Power – RGC Hansa 2-3"/>
        <s v="Kahramanmaras – CSAVH Lyon 12-2"/>
        <s v="Näpäjä – Füchse Berlin 4-11"/>
        <s v="GC Golden Flash – FIFH Malmo 4-5"/>
        <s v="Kleio Thessaloniki – Kahramanmaras 0-8"/>
        <s v="RGC Hansa – USV Hercules 5-5"/>
        <s v="Old Power – FIFH Malmo 3-4"/>
        <s v="Füchse Berlin – CSAVH Lyon 8-2"/>
        <s v="Näpäjä – Kahramanmaras 2-8"/>
        <s v="USV Hercules – GC Golden Flash 4-5"/>
        <s v="FIFH Malmo – RGC Hansa 9-2"/>
        <s v="CSAVH Lyon – Kleio Thessaloniki 0-3"/>
        <s v="Kahramanmaras – Füchse Berlin 7-5"/>
        <s v="GC Golden Flash – Old Power 1-5"/>
        <s v="Kleio Thessaloniki – Näpäjä 1-6"/>
        <s v="Old Power – Kleio Thessaloniki 1-2"/>
        <s v="Näpäjä – GC Golden Flash 4-3"/>
        <s v="FIFH Malmo – Füchse Berlin 1-3"/>
        <s v="Kahramanmaras – RGC Hansa 6-2"/>
        <s v="USV Hercules – CSAVH Lyon 15-7"/>
        <s v="Old Power – GC Golden Flash 4-2"/>
        <s v="Kleio Thessaloniki – Näpäjä 0-4"/>
        <s v="FIFH Malmo – RGC Hansa 6-3"/>
        <s v="Füchse Berlin – Kahramanmaras 4-1"/>
        <s v="FIFH Malmo – GC Golden Flash 9-4"/>
        <s v="Kahramanmaras – RGC Hansa 3-5"/>
        <s v="Füchse Berlin – Isparta 6-8"/>
        <s v="Old Power – USV Hercules 8-5"/>
        <s v="RGC Hansa – FIFH Malmo 7-4"/>
        <s v="GC Golden Flash – Kahramanmaras 2-7"/>
        <s v="USV Hercules – Füchse Berlin 8-3"/>
        <s v="Isparta – Old Power 5-10"/>
        <s v="RGC Hansa – GC Golden Flash 4-3"/>
        <s v="FIFH Malmo – Kahramanmaras 5-9"/>
        <s v="USV Hercules – Isparta 4-5"/>
        <s v="Füchse Berlin – Old Power 0-10"/>
        <s v="RGC Hansa – Füchse Berlin 11-1"/>
        <s v="Isparta – FIFH Malmo 1-6"/>
        <s v="Old Power – GC Golden Flash 9-4"/>
        <s v="Kahramanmaras – USV Hercules 14-6"/>
        <s v="Isparta – Füchse Berlin 3-9"/>
        <s v="USV Hercules – GC Golden Flash 0-3"/>
        <s v="Old Power – FIFH Malmo 3-1"/>
        <s v="RGC Hansa Rostock – Kahramanmaras 2-4"/>
        <s v="Isparta – USV Hercules 1-11"/>
        <s v="Füchse Berlin – GC Golden Flash 7-4"/>
        <s v="FIFH Malmo – RGC Hansa Rostock 4-6"/>
        <s v="Old Power – Kahramanmaras 2-1"/>
        <m/>
        <s v="BRUK-BET Termalica Krakow – CSAVH Lyon 9-13" u="1"/>
        <s v="RGC Hansa – BRUK-BET Termalica Krakow 10-7" u="1"/>
        <s v="RGc Hansa – BRUK-BET Termalica Krakow Ot. 9-8" u="1"/>
        <s v="GC Nikšić – BRUK-BET Termalica Krakow Ot. 10-9" u="1"/>
        <s v="BRUK-BET Termalica Krakow – NGA Lions 8-5" u="1"/>
        <s v="Näpäjä – BRUK-BET Termalica Krakow 7-10" u="1"/>
        <s v="Old Power – BRUK-BET Termalica Krakow 8-13" u="1"/>
        <s v="CSAVH Lyon – Näpäjä 5-2" u="1"/>
        <s v="CSAVH Lyon – Nilüfer Buges 8-7" u="1"/>
        <s v="NGA Lions – CSAVH Lyon 5-6" u="1"/>
        <s v="CSAVH Lyon – RGC Hansa 14-14" u="1"/>
        <s v="CSAVH Lyon – Ha. Vi. 2 Bruxelles 3-8" u="1"/>
        <s v="NGA Lions – CSAVH Lyon 12-7" u="1"/>
        <s v="GC Nikšić – FC Porto 5-4" u="1"/>
        <s v="FC Porto – Old Power 6-11" u="1"/>
        <s v="Ha. Vi. 2 Bruxelles – FC Porto 10-5" u="1"/>
        <s v="FC Porto – Nilüfer Buges 7-11" u="1"/>
        <s v="FC Porto – Näpäjä 8-7" u="1"/>
        <s v="15 extra points; host of Final Stage 2025" u="1"/>
        <s v="GC Nikšić – Ha. Vi. 2 Bruxelles 5-10" u="1"/>
        <s v="GC Nikšić – Old Power 11-10" u="1"/>
        <s v="Ha. Vi. 2 Bruxelles – GC Nikšić 10-15" u="1"/>
        <s v="Nilüfer Buges – GC Nikšić 6-9" u="1"/>
        <s v="GC Nikšić – NGA Lions 11-1" u="1"/>
        <s v="Old Power – Ha. Vi. 2 Bruxelles 13-8" u="1"/>
        <s v="Nilüfer Buges – Ha. Vi. 2 Bruxelles 3-6" u="1"/>
        <s v="Ha. Vi. 2 Bruxelles – RGC Hansa 11-8" u="1"/>
        <s v="RGC Hansa – Näpäjä 9-7" u="1"/>
        <s v="Näpäjä – NGA Lions 5-5" u="1"/>
        <s v="NGA Lions – Old Power 12-4" u="1"/>
        <s v="NGA Lions – RGC Hansa 5-5" u="1"/>
        <s v="Nilüfer Buges – Old Power 10-6" u="1"/>
        <s v="Old Power – Nilüfer Buges 8-7" u="1"/>
        <s v="RGC Hansa – Nilüfer Buges 5-2" u="1"/>
        <s v="Aarhus Goalball – Fen Tigers 6-11" u="1"/>
        <s v="Ha. Vi. 2 Bruxelles – Aarhus Goalball 15-7" u="1"/>
        <s v="CSAVH Lyon – Aarhus Goalball 4-8" u="1"/>
        <s v="Old Power – Aarhus Goalball 10-4" u="1"/>
        <s v="Aarhus Goalball – Northern Allstars 10-2" u="1"/>
        <s v="Aarhus Goalball – Sporting CP 7-3" u="1"/>
        <s v="ASD Omero Bergamo – FSBU Gothenburg 4:12" u="1"/>
        <s v="RGC Hansa – ASD Omero Bergamo 10:3" u="1"/>
        <s v="Invasport Ukraine – ASD Omero Bergamo 12:5" u="1"/>
        <s v="NGA Lions – ASD Omero Bergamo 4:4 After over time 5:4" u="1"/>
        <s v="ASD Omero Bergamo – Invasport Ukraine 9:11" u="1"/>
        <s v="GC Perun – ASD Omero Bergamo 3:13" u="1"/>
        <s v="Nilüfer Buges – Bruk-Bet Termalica Krakow 5-12" u="1"/>
        <s v="Bruk-Bet Termalica Krakow – GC Nikšić 9-4" u="1"/>
        <s v="BSI Copenhagen – Bruk-Bet Termalica Krakow 4-12" u="1"/>
        <s v="GC Nais – Bruk-Bet Termalica Krakow 2-12" u="1"/>
        <s v="Bruk-Bet Termalica Krakow – Kleio Thessaloniki 15-9" u="1"/>
        <s v="Bruk-Bet Termalica Krakow – IFAS Stockholm 12-9" u="1"/>
        <s v="No QF/SF or Medals. 1st Place = +4.5 Pts to Compensate" u="1"/>
        <s v="BSI Copenhagen – GC Nais 14-8" u="1"/>
        <s v="BSI Copenhagen – Kleio Thessaloniki 13-3" u="1"/>
        <s v="GC Nikšić – BSI Copenhagen 15-9" u="1"/>
        <s v="IFAS Stockholm – BSI Copenhagen 2-5" u="1"/>
        <s v="Nilüfer Buges – BSI Copenhagen 8-4" u="1"/>
        <s v="Fen Tigers – CSAVH Lyon 4-7" u="1"/>
        <s v="Sporting CP – CSAVH Lyon 6-8" u="1"/>
        <s v="Fen Tigers – CSAVH Lyon 6-7" u="1"/>
        <s v="CSAVH Lyon – Ha. Vi. 2 Bruxelles 6-12" u="1"/>
        <s v="Ha. Vi. 2 Bruxelles – CSAVH Lyon 10-4" u="1"/>
        <s v="Ha. Vi. 2 Bruxelles – Fen Tigers 11-7" u="1"/>
        <s v="Old Power – Fen Tigers 8-5" u="1"/>
        <s v="Fen Tigers – Northern Allstars 6-3" u="1"/>
        <s v="FSBU Gothenburg – Invasport Ukraine 1:8" u="1"/>
        <s v="FSBU Gothenburg – Invasport Ukraine 3:2" u="1"/>
        <s v="GC Perun – FSBU Gothenburg 7:14" u="1"/>
        <s v="RGC Hansa – FSBU Gothenburg 13:3" u="1"/>
        <s v="SSG Blista Marburg – FSBU Gothenburg 10:5" u="1"/>
        <s v="Northern Allstars – Füchse Berlin 14-4" u="1"/>
        <s v="Füchse Berlin – Old Power 6-13" u="1"/>
        <s v="Füchse Berlin – Sporting CP 1-11" u="1"/>
        <s v="Ha. Vi. 2 Bruxelles – Füchse Berlin 10-3" u="1"/>
        <s v="Füchse Berlin – Sporting CP 6-11" u="1"/>
        <s v="Northern Allstars – Füchse Berlin 11-1" u="1"/>
        <s v="GC Nais – IFAS Stockholm 2-12" u="1"/>
        <s v="GC Nais – Nilüfer Buges 7-13" u="1"/>
        <s v="GC Nikšić – GC Nais 13-7" u="1"/>
        <s v="Kleio Thessaloniki – GC Nais 11-1" u="1"/>
        <s v="GC Nikšić – Nilüfer Buges 5-7" u="1"/>
        <s v="No QF/SF or Medals. 3rd Place = +1.5 Pts to Compensate" u="1"/>
        <s v="Kleio Thessaloniki – GC Nikšić 3-13" u="1"/>
        <s v="IFAS Stockholm – GC Nikšić 4-7" u="1"/>
        <s v="NGA Lions – GC Perun 17:7" u="1"/>
        <s v="GC Perun – Näpäjä 2:10" u="1"/>
        <s v="GC Perun – SSG Blista Marburg 1:11" u="1"/>
        <s v="RGC Hansa – GC Perun 10:0" u="1"/>
        <s v="Ha. Vi. 2 Bruxelles – Aarhus Goalball  15-7" u="1"/>
        <s v="Old Power – Ha. Vi. 2 Bruxelles 8-10" u="1"/>
        <s v="IFAS Stockholm – Kleio Thessaloniki 10-5" u="1"/>
        <s v="Nilüfer Buges – IFAS Stockholm 3-7" u="1"/>
        <s v="Invasport Ukraine – RGC Hansa 1:11" u="1"/>
        <s v="Invasport Ukraine – Näpäjä 2:4" u="1"/>
        <s v="Kleio Thessaloniki – Nilüfer Buges 1-11" u="1"/>
        <s v="NGA Lions – Näpäjä 8:3" u="1"/>
        <s v="Näpäjä – SSG Blista Marburg 6:6" u="1"/>
        <s v="RGC Hansa – Näpäjä 4:4 After over time 5:4" u="1"/>
        <s v="NGA Lions – Näpäjä 2:4" u="1"/>
        <s v="SSG Blista Marburg – NGA Lions 5:15" u="1"/>
        <s v="SSG Blista Marburg – NGA Lions 5:8" u="1"/>
        <s v="Sporting CP – Northern Allstars 14-7" u="1"/>
        <s v="Northern Allstars – Old Power 5:13" u="1"/>
        <s v="Old Power – Sporting CP 11-9" u="1"/>
        <s v="Northen Allstars – Old Power 5-13" u="1"/>
        <s v="RGC Hansa – SSG Blista Marburg 13:5" u="1"/>
        <s v="15 extra points; host of Final Stage 2026" u="1"/>
        <s v="Aarhus Goalball – BRUK-BET Termalica Krakow 8-7" u="1"/>
        <s v="Sporting CP – Aarhus Goalball 7-8" u="1"/>
        <s v="Northern Allstars – Aarhus Goalball 4-5" u="1"/>
        <s v="Aarhus Goalball – Ha. Vi. 2 Bruxelles 9-1" u="1"/>
        <s v="Aarhus Goalball – ONCE Catalunya 8-5" u="1"/>
        <s v="BRUK-BET Termalica Krakow – Aarhus Goalball 6-9" u="1"/>
        <s v="Nilüfer Buges – Aisti Sport 8-2" u="1"/>
        <s v="Aisti Sport – Kleio Thessaloniki 11-4" u="1"/>
        <s v="GC Nais – Aisti Sport 1-11" u="1"/>
        <s v="Aisti Sport – GC Nikšić 4-11" u="1"/>
        <s v="GC Nais – Aisti Sport 3-13" u="1"/>
        <s v="Kleio Thessaloniki – Aisti Sport 0-6" u="1"/>
        <s v="ASCND Marseille – CA Cultural 4-8" u="1"/>
        <s v="BSI Copenhagen – ASCND Marseille 13-18" u="1"/>
        <s v="ASCND Marseille – FSBU Gothenburg 9-11" u="1"/>
        <s v="ASCND Marseille – SSG Blista Marburg 9-5" u="1"/>
        <s v="FSBU Gothenburg – ASCND Marseille 8-3" u="1"/>
        <s v="ASCND Marseille – CA Cultural 5-14" u="1"/>
        <s v="ASD Omero Bergamo – SSG Blista Marburg 6-5" u="1"/>
        <s v="Fen Tigers – ASD Omero Bergamo 7-3" u="1"/>
        <s v="FC Porto – ASD Omero Bergamo 10-3" u="1"/>
        <s v="CA Cultural – ASD Omero Bergamo 5-2" u="1"/>
        <s v="ASD Omero Bergamo – BSI Copenhagen 9-8" u="1"/>
        <s v="FC Porto – ASD Omero Bergamo 6-7" u="1"/>
        <s v="BRUK-BET Termalica Krakow – Northern Allstars 15-9" u="1"/>
        <s v="BRUK-BET Termalica Krakow – Sporting CP 14-8" u="1"/>
        <s v="BRUK-BET Termalica Krakow – Näpäjä 10-5" u="1"/>
        <s v="RGC Hansa – BRUK-BET Termalica Krakow 6-8" u="1"/>
        <s v="BSI Copenhagen – CA Cultural 3-7" u="1"/>
        <s v="Fen Tigers – BSI Copenhagen 6-3" u="1"/>
        <s v="FSBU Gothenburg – BSI Copenhagen 3-5" u="1"/>
        <s v="SSG Blista Marburg – BSI Copenhagen 11-6" u="1"/>
        <s v="CA Cultural – FSBU Gothenburg 10-1" u="1"/>
        <s v="CA Cultural – Fen Tigers 6-7" u="1"/>
        <s v="Club Fenix – Cankaya 0:10" u="1"/>
        <s v="Cankaya – GC Nikšić 16-6" u="1"/>
        <s v="Old Power – Cankaya 11-6" u="1"/>
        <s v="Cankaya – Kleio Thessaloniki 10-0" u="1"/>
        <s v="Nilüfer Buges – Cankaya 13-4" u="1"/>
        <s v="Cankaya – GC Nikšić 12-4" u="1"/>
        <s v="Old Power – Club Fenix 14-4" u="1"/>
        <s v="Club Fenix – GC Nikšić 4-14" u="1"/>
        <s v="Nilüfer Buges – Club Fenix 12-2" u="1"/>
        <s v="Club Fenix – Kleio Thessaloniki 2:11" u="1"/>
        <s v="Club Fenix – GC Nais 6-15" u="1"/>
        <s v="FC Porto – Fen Tigers 6-6" u="1"/>
        <s v="SSG Blista Marburg – FC Porto 7-11" u="1"/>
        <s v="FC Porto – FSBU Gothenburg 5-7" u="1"/>
        <s v="FC Porto – SSG Blista Marburg 9-8" u="1"/>
        <s v="FSBU Gothenburg – Fen Tigers 10-6" u="1"/>
        <s v="SSG Blista Marburg – Fen Tigers 9-1" u="1"/>
        <s v="GC Nais – Nilüfer Buges 3-13" u="1"/>
        <s v="Kleio Thessaloniki – GC Nais 7-7" u="1"/>
        <s v="Old Power – GC Nais 14-5" u="1"/>
        <s v="GC Nikšić – Old Power 5-9" u="1"/>
        <s v="Old Power – GC Nikšić 14-4" u="1"/>
        <s v="Ha. Vi. 2 Bruxelles – RGC Hansa 7-14" u="1"/>
        <s v="Näpäjä – Ha. Vi. 2 Bruxelles 3-2" u="1"/>
        <s v="ONCE Catalunya – Ha. Vi. 2 Bruxelles 9-4" u="1"/>
        <s v="Sporting – Ha. vi. 2 Bruxelles 12-9" u="1"/>
        <s v="Ha. vi. 2 Bruxelles – Northern Allstars OT 10-9" u="1"/>
        <s v="Nilüfer Buges – Kleio Thessaloniki 11-6" u="1"/>
        <s v="Näpäjä – ONCE Catalunya 0-10" u="1"/>
        <s v="RGC Hansa – Näpäjä 6-3" u="1"/>
        <s v="Sporting CP – Näpäjä 16-7" u="1"/>
        <s v="Näpäjä – Northern Allstars 1-3" u="1"/>
        <s v="Nilüfer Buges – Old Power 2-5" u="1"/>
        <s v="Northern Allstars – Sporting CP 6-5" u="1"/>
        <s v="Ha. vi. 2 Bruxelles – Northern Allstars 10-9 (after extra throws), 6-6" u="1"/>
        <s v="ONCE Catalunya – Northern Allstars 9-8" u="1"/>
        <s v="RGC Hansa – ONCE Catalunya 10-3" u="1"/>
        <s v="RGC Hansa – ONCE Catalunya 11-1" u="1"/>
        <s v="RGC Hansa – Sporting CP 11-4" u="1"/>
        <s v="Sporting CP – Ha. vi. 2 Bruxelles 12:9" u="1"/>
        <s v="BSI – ASCND Marseille 13-18" u="1"/>
        <s v="ASD Omero Bergamo – BSI 9-8" u="1"/>
        <s v="BSI – Bruk-Bet Termalica Krakow 4-12" u="1"/>
        <s v="BSI – CA Cultural 3-7" u="1"/>
        <s v="Fen Tigers – BSI 6-3" u="1"/>
        <s v="FSBU Gothenburg – BSI 3-5" u="1"/>
        <s v="SSG Blista Marburg – BSI 11-6" u="1"/>
        <s v="BSI – GC Nais 14-8" u="1"/>
        <s v="BSI – Kleio Thessaloniki 13-3" u="1"/>
        <s v="GC Nikšić – BSI 15-9" u="1"/>
        <s v="IFAS Stockholm – BSI 2-5" u="1"/>
        <s v="Nilüfer Buges – BSI 8-4" u="1"/>
        <s v="Aisti Sport – GC Niksic 4-11" u="1"/>
        <s v="RGC Hansa Rostock – BRUK-BET Termalica Krakow 6-8" u="1"/>
        <s v="GC Niksic – BRUK-BET Termalica Krakow Ot. 10-9" u="1"/>
        <s v="Cankaya – GC Niksic 16-6" u="1"/>
        <s v="Cankaya – GC Niksic 12-4" u="1"/>
        <s v="Club Fenix – GC Niksic 4-14" u="1"/>
        <s v="GC Niksic – FC Porto 5-4" u="1"/>
        <s v="GC Niksic – Ha. Vi. 2 Bruxelles 5-10" u="1"/>
        <s v="GC Niksic – Old Power 11-10" u="1"/>
        <s v="Ha. Vi. 2 Bruxelles – GC Niksic 10-15" u="1"/>
        <s v="Nilüfer Buges – GC Niksic 6-9" u="1"/>
        <s v="GC Niksic – NGA Lions 11-1" u="1"/>
        <s v="GC Niksic – Old Power 5-9" u="1"/>
        <s v="Old Power – GC Niksic 14-4" u="1"/>
        <s v="Ha. Vi. 2 Bruxelles – RGC Hansa Rostock 7-14" u="1"/>
        <s v="RGC Hansa Rostock – Näpäjä 6-3" u="1"/>
        <s v="RGC Hansa Rostock – ONCE Catalunya 10-3" u="1"/>
        <s v="RGC Hansa Rostock – ONCE Catalunya 11-1" u="1"/>
        <s v="RGC Hansa Rostock – Sporting CP 11-4" u="1"/>
      </sharedItems>
    </cacheField>
    <cacheField name="Goals Scored" numFmtId="0">
      <sharedItems containsBlank="1" containsMixedTypes="1" containsNumber="1" containsInteger="1" minValue="0" maxValue="15"/>
    </cacheField>
    <cacheField name="Goals Conceded" numFmtId="0">
      <sharedItems containsBlank="1" containsMixedTypes="1" containsNumber="1" containsInteger="1" minValue="0" maxValue="15"/>
    </cacheField>
    <cacheField name="Goal Difference" numFmtId="0">
      <sharedItems containsString="0" containsBlank="1" containsNumber="1" containsInteger="1" minValue="-10" maxValue="10"/>
    </cacheField>
    <cacheField name="1st Team" numFmtId="0">
      <sharedItems containsBlank="1"/>
    </cacheField>
    <cacheField name="Score" numFmtId="0">
      <sharedItems containsBlank="1"/>
    </cacheField>
    <cacheField name="1st Goal Number" numFmtId="0">
      <sharedItems containsString="0" containsBlank="1" containsNumber="1" containsInteger="1" minValue="0" maxValue="15"/>
    </cacheField>
    <cacheField name="2nd Goal Number" numFmtId="0">
      <sharedItems containsString="0" containsBlank="1" containsNumber="1" containsInteger="1" minValue="1" maxValue="14"/>
    </cacheField>
    <cacheField name="Game for Average GD?" numFmtId="0">
      <sharedItems containsString="0" containsBlank="1" containsNumber="1" containsInteger="1" minValue="1" maxValue="1"/>
    </cacheField>
    <cacheField name="Event Stage" numFmtId="0">
      <sharedItems containsBlank="1" count="7">
        <s v="Group"/>
        <s v="Placement"/>
        <s v="SF"/>
        <s v="Medal"/>
        <s v="QF"/>
        <m/>
        <s v="N/A" u="1"/>
      </sharedItems>
    </cacheField>
    <cacheField name="Match Type" numFmtId="0">
      <sharedItems containsBlank="1"/>
    </cacheField>
    <cacheField name="Result" numFmtId="0">
      <sharedItems containsBlank="1"/>
    </cacheField>
    <cacheField name="Points" numFmtId="0">
      <sharedItems containsBlank="1" containsMixedTypes="1" containsNumber="1" minValue="0" maxValue="4.5"/>
    </cacheField>
    <cacheField name="2025 Total Points" numFmtId="0">
      <sharedItems containsString="0" containsBlank="1" containsNumber="1" minValue="0" maxValue="4.5"/>
    </cacheField>
    <cacheField name="2026 Total Points" numFmtId="0">
      <sharedItems containsBlank="1" containsMixedTypes="1" containsNumber="1" minValue="0" maxValue="4.5"/>
    </cacheField>
    <cacheField name="2027 Total Points" numFmtId="0">
      <sharedItems containsBlank="1" containsMixedTypes="1" containsNumber="1" minValue="0" maxValue="2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ans, Emma" refreshedDate="46287.900321527777" createdVersion="8" refreshedVersion="8" minRefreshableVersion="3" recordCount="204" xr:uid="{D71B8AE1-51AD-4C1F-873F-12FF09A1A1DB}">
  <cacheSource type="worksheet">
    <worksheetSource ref="A2:U2420" sheet="4. Master Data"/>
  </cacheSource>
  <cacheFields count="21">
    <cacheField name="Event" numFmtId="0">
      <sharedItems containsBlank="1"/>
    </cacheField>
    <cacheField name="Location" numFmtId="0">
      <sharedItems containsBlank="1"/>
    </cacheField>
    <cacheField name="Team" numFmtId="0">
      <sharedItems containsBlank="1" count="39">
        <s v="USV Hercules"/>
        <s v="Old Power"/>
        <s v="RGC Hansa"/>
        <s v="GC Golden Flash"/>
        <s v="CSAVH Lyon"/>
        <s v="Näpäjä"/>
        <s v="Füchse Berlin"/>
        <s v="Kleio Thessaloniki"/>
        <s v="FIFH Malmo"/>
        <s v="Kahramanmaras"/>
        <s v="Isparta"/>
        <m/>
        <s v="Gören Kalpler" u="1"/>
        <s v="Red Velvet Warriors Budapest" u="1"/>
        <s v="Isparta Blind Sports Club" u="1"/>
        <s v="BRUK-BET Termalica Krakow" u="1"/>
        <s v="FC Porto" u="1"/>
        <s v="GC Nikšić" u="1"/>
        <s v="Ha. Vi. 2 Bruxelles" u="1"/>
        <s v="NGA Lions" u="1"/>
        <s v="Nilüfer Buges" u="1"/>
        <s v="Aarhus Goalball" u="1"/>
        <s v="ASD Omero Bergamo" u="1"/>
        <s v="BSI Copenhagen" u="1"/>
        <s v="Fen Tigers" u="1"/>
        <s v="FSBU Gothenburg" u="1"/>
        <s v="GC Nais" u="1"/>
        <s v="GC Perun" u="1"/>
        <s v="IFAS Stockholm" u="1"/>
        <s v="Invasport Ukraine" u="1"/>
        <s v="Northern Allstars" u="1"/>
        <s v="Sporting CP" u="1"/>
        <s v="SSG Blista Marburg" u="1"/>
        <s v="Aisti Sport" u="1"/>
        <s v="ASCND Marseille" u="1"/>
        <s v="CA Cultural" u="1"/>
        <s v="Cankaya" u="1"/>
        <s v="Club Fenix" u="1"/>
        <s v="ONCE Catalunya" u="1"/>
      </sharedItems>
    </cacheField>
    <cacheField name="Match ID" numFmtId="0">
      <sharedItems containsBlank="1"/>
    </cacheField>
    <cacheField name="Match Result" numFmtId="0">
      <sharedItems containsBlank="1"/>
    </cacheField>
    <cacheField name="Goals Scored" numFmtId="0">
      <sharedItems containsBlank="1" containsMixedTypes="1" containsNumber="1" containsInteger="1" minValue="0" maxValue="15"/>
    </cacheField>
    <cacheField name="Goals Conceded" numFmtId="0">
      <sharedItems containsBlank="1" containsMixedTypes="1" containsNumber="1" containsInteger="1" minValue="0" maxValue="15"/>
    </cacheField>
    <cacheField name="Goal Difference" numFmtId="0">
      <sharedItems containsString="0" containsBlank="1" containsNumber="1" containsInteger="1" minValue="-10" maxValue="10"/>
    </cacheField>
    <cacheField name="1st Team" numFmtId="0">
      <sharedItems containsBlank="1"/>
    </cacheField>
    <cacheField name="Score" numFmtId="0">
      <sharedItems containsBlank="1"/>
    </cacheField>
    <cacheField name="1st Goal Number" numFmtId="0">
      <sharedItems containsString="0" containsBlank="1" containsNumber="1" containsInteger="1" minValue="0" maxValue="15"/>
    </cacheField>
    <cacheField name="2nd Goal Number" numFmtId="0">
      <sharedItems containsString="0" containsBlank="1" containsNumber="1" containsInteger="1" minValue="1" maxValue="14"/>
    </cacheField>
    <cacheField name="Game for Average GD?" numFmtId="0">
      <sharedItems containsString="0" containsBlank="1" containsNumber="1" containsInteger="1" minValue="1" maxValue="1"/>
    </cacheField>
    <cacheField name="Event Stage" numFmtId="0">
      <sharedItems containsBlank="1"/>
    </cacheField>
    <cacheField name="Match Type" numFmtId="0">
      <sharedItems containsBlank="1"/>
    </cacheField>
    <cacheField name="Result" numFmtId="0">
      <sharedItems containsBlank="1"/>
    </cacheField>
    <cacheField name="Points" numFmtId="0">
      <sharedItems containsBlank="1" containsMixedTypes="1" containsNumber="1" minValue="0" maxValue="4.5"/>
    </cacheField>
    <cacheField name="2025 Total Points" numFmtId="0">
      <sharedItems containsString="0" containsBlank="1" containsNumber="1" minValue="0" maxValue="4.5"/>
    </cacheField>
    <cacheField name="2026 Total Points" numFmtId="0">
      <sharedItems containsBlank="1" containsMixedTypes="1" containsNumber="1" minValue="0" maxValue="4.5"/>
    </cacheField>
    <cacheField name="2027 Total Points" numFmtId="0">
      <sharedItems containsBlank="1" containsMixedTypes="1" containsNumber="1" minValue="0" maxValue="2.25"/>
    </cacheField>
    <cacheField name="2027 Ranking Sort Value" numFmtId="0">
      <sharedItems containsBlank="1" containsMixedTypes="1" containsNumber="1" minValue="-0.01" maxValue="4.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3">
  <r>
    <x v="0"/>
    <x v="0"/>
    <x v="0"/>
    <s v="26_BA_G04"/>
    <s v="Aarhus Goalball – BRUK-BET Termalica Krakow 8-7"/>
    <n v="8"/>
    <n v="7"/>
    <n v="1"/>
    <s v="Aarhus Goalball"/>
    <s v="8-7"/>
    <n v="8"/>
    <n v="7"/>
    <s v="Group"/>
    <s v="Qualifier Group Stage"/>
    <s v="Win"/>
    <n v="3"/>
    <m/>
    <n v="3"/>
    <n v="1.5"/>
  </r>
  <r>
    <x v="0"/>
    <x v="0"/>
    <x v="0"/>
    <s v="26_BA_G08"/>
    <s v="Sporting CP – Aarhus Goalball 7-8"/>
    <n v="8"/>
    <n v="7"/>
    <n v="1"/>
    <s v="Sporting CP"/>
    <s v="7-8"/>
    <n v="7"/>
    <n v="8"/>
    <s v="Group"/>
    <s v="Qualifier Group Stage"/>
    <s v="Win"/>
    <n v="3"/>
    <m/>
    <n v="3"/>
    <n v="1.5"/>
  </r>
  <r>
    <x v="0"/>
    <x v="0"/>
    <x v="0"/>
    <s v="26_BA_G11"/>
    <s v="Northern Allstars – Aarhus Goalball 4-5"/>
    <n v="5"/>
    <n v="4"/>
    <n v="1"/>
    <s v="Northern Allstars"/>
    <s v="4-5"/>
    <n v="4"/>
    <n v="5"/>
    <s v="Group"/>
    <s v="Qualifier Group Stage"/>
    <s v="Win"/>
    <n v="3"/>
    <m/>
    <n v="3"/>
    <n v="1.5"/>
  </r>
  <r>
    <x v="0"/>
    <x v="0"/>
    <x v="0"/>
    <s v="26_BA_G15"/>
    <s v="Aarhus Goalball – Ha. Vi. 2 Bruxelles 9-1"/>
    <n v="9"/>
    <n v="1"/>
    <n v="8"/>
    <s v="Aarhus Goalball"/>
    <s v="9-1"/>
    <n v="9"/>
    <n v="1"/>
    <s v="QF"/>
    <s v="Qualifier QF/SF/Medal"/>
    <s v="Win"/>
    <n v="4.5"/>
    <m/>
    <n v="4.5"/>
    <n v="2.25"/>
  </r>
  <r>
    <x v="0"/>
    <x v="0"/>
    <x v="0"/>
    <s v="26_BA_G20"/>
    <s v="Aarhus Goalball – ONCE Catalunya 8-5"/>
    <n v="8"/>
    <n v="5"/>
    <n v="3"/>
    <s v="Aarhus Goalball"/>
    <s v="8-5"/>
    <n v="8"/>
    <n v="5"/>
    <s v="SF"/>
    <s v="Qualifier QF/SF/Medal"/>
    <s v="Win"/>
    <n v="4.5"/>
    <m/>
    <n v="4.5"/>
    <n v="2.25"/>
  </r>
  <r>
    <x v="0"/>
    <x v="0"/>
    <x v="0"/>
    <s v="26_BA_G24"/>
    <s v="BRUK-BET Termalica Krakow – Aarhus Goalball 6-9"/>
    <n v="9"/>
    <n v="6"/>
    <n v="3"/>
    <s v="BRUK-BET Termalica Krakow"/>
    <s v="6-9"/>
    <n v="6"/>
    <n v="9"/>
    <s v="Medal"/>
    <s v="Qualifier QF/SF/Medal"/>
    <s v="Win"/>
    <n v="4.5"/>
    <m/>
    <n v="4.5"/>
    <n v="2.25"/>
  </r>
  <r>
    <x v="1"/>
    <x v="1"/>
    <x v="0"/>
    <s v="25_PB_G04"/>
    <s v="Aarhus Goalball – Fen Tigers 6-11"/>
    <n v="6"/>
    <n v="11"/>
    <n v="-5"/>
    <s v="Aarhus Goalball"/>
    <s v="6-11"/>
    <n v="6"/>
    <n v="11"/>
    <s v="Group"/>
    <s v="Qualifier Group Stage"/>
    <s v="Loss"/>
    <n v="0"/>
    <n v="0"/>
    <n v="0"/>
    <m/>
  </r>
  <r>
    <x v="1"/>
    <x v="1"/>
    <x v="0"/>
    <s v="25_PB_G07"/>
    <s v="Ha. Vi. 2 Bruxelles – Aarhus Goalball 15-7"/>
    <n v="7"/>
    <n v="15"/>
    <n v="-8"/>
    <s v="Ha. Vi. 2 Bruxelles"/>
    <s v="15-7"/>
    <n v="15"/>
    <n v="7"/>
    <s v="Group"/>
    <s v="Qualifier Group Stage"/>
    <s v="Loss"/>
    <n v="0"/>
    <n v="0"/>
    <n v="0"/>
    <m/>
  </r>
  <r>
    <x v="1"/>
    <x v="1"/>
    <x v="0"/>
    <s v="25_PB_G11"/>
    <s v="CSAVH Lyon – Aarhus Goalball 4-8"/>
    <n v="8"/>
    <n v="4"/>
    <n v="4"/>
    <s v="CSAVH Lyon"/>
    <s v="4-8"/>
    <n v="4"/>
    <n v="8"/>
    <s v="Group"/>
    <s v="Qualifier Group Stage"/>
    <s v="Win"/>
    <n v="3"/>
    <n v="3"/>
    <n v="1.5"/>
    <m/>
  </r>
  <r>
    <x v="1"/>
    <x v="1"/>
    <x v="0"/>
    <s v="25_PB_G13"/>
    <s v="Old Power – Aarhus Goalball 10-4"/>
    <n v="4"/>
    <n v="10"/>
    <n v="-6"/>
    <s v="Old Power"/>
    <s v="10-4"/>
    <n v="10"/>
    <n v="4"/>
    <s v="QF"/>
    <s v="Qualifier QF/SF/Medal"/>
    <s v="Loss"/>
    <n v="0"/>
    <n v="0"/>
    <n v="0"/>
    <m/>
  </r>
  <r>
    <x v="1"/>
    <x v="1"/>
    <x v="0"/>
    <s v="25_PB_G17"/>
    <s v="Aarhus Goalball – Northern Allstars 10-2"/>
    <n v="10"/>
    <n v="2"/>
    <n v="8"/>
    <s v="Aarhus Goalball"/>
    <s v="10-2"/>
    <n v="10"/>
    <n v="2"/>
    <s v="Placement"/>
    <s v="Qualifier Placement"/>
    <s v="Win"/>
    <n v="3"/>
    <n v="3"/>
    <n v="1.5"/>
    <m/>
  </r>
  <r>
    <x v="1"/>
    <x v="1"/>
    <x v="0"/>
    <s v="25_PB_G22"/>
    <s v="Aarhus Goalball – Sporting CP 7-3"/>
    <n v="7"/>
    <n v="3"/>
    <n v="4"/>
    <s v="Aarhus Goalball"/>
    <s v="7-3"/>
    <n v="7"/>
    <n v="3"/>
    <s v="Placement"/>
    <s v="Qualifier Placement"/>
    <s v="Win"/>
    <n v="3"/>
    <n v="3"/>
    <n v="1.5"/>
    <m/>
  </r>
  <r>
    <x v="0"/>
    <x v="2"/>
    <x v="1"/>
    <s v="26_NI_G01"/>
    <s v="Nilüfer Buges – Aisti Sport 8-2"/>
    <n v="2"/>
    <n v="8"/>
    <n v="-6"/>
    <s v="Nilüfer Buges"/>
    <s v="8-2"/>
    <n v="8"/>
    <n v="2"/>
    <s v="Group"/>
    <s v="Qualifier Group Stage"/>
    <s v="Loss"/>
    <n v="0"/>
    <m/>
    <n v="0"/>
    <n v="0"/>
  </r>
  <r>
    <x v="0"/>
    <x v="2"/>
    <x v="1"/>
    <s v="26_NI_G06"/>
    <s v="Aisti Sport – Kleio Thessaloniki 11-4"/>
    <n v="11"/>
    <n v="4"/>
    <n v="7"/>
    <s v="Aisti Sport"/>
    <s v="11-4"/>
    <n v="11"/>
    <n v="4"/>
    <s v="Group"/>
    <s v="Qualifier Group Stage"/>
    <s v="Win"/>
    <n v="3"/>
    <m/>
    <n v="3"/>
    <n v="1.5"/>
  </r>
  <r>
    <x v="0"/>
    <x v="2"/>
    <x v="1"/>
    <s v="26_NI_G10"/>
    <s v="GC Nais – Aisti Sport 1-11"/>
    <n v="11"/>
    <n v="1"/>
    <n v="10"/>
    <s v="GC Nais"/>
    <s v="1-11"/>
    <n v="1"/>
    <n v="11"/>
    <s v="Group"/>
    <s v="Qualifier Group Stage"/>
    <s v="Win"/>
    <n v="3"/>
    <m/>
    <n v="3"/>
    <n v="1.5"/>
  </r>
  <r>
    <x v="0"/>
    <x v="2"/>
    <x v="1"/>
    <s v="26_NI_G16"/>
    <s v="Aisti Sport – GC Nikšić 4-11"/>
    <n v="4"/>
    <n v="11"/>
    <n v="-7"/>
    <s v="Aisti Sport"/>
    <s v="4-11"/>
    <n v="4"/>
    <n v="11"/>
    <s v="QF"/>
    <s v="Qualifier QF/SF/Medal"/>
    <s v="Loss"/>
    <n v="0"/>
    <m/>
    <n v="0"/>
    <n v="0"/>
  </r>
  <r>
    <x v="0"/>
    <x v="2"/>
    <x v="1"/>
    <s v="26_NI_G19"/>
    <s v="GC Nais – Aisti Sport 3-13"/>
    <n v="13"/>
    <n v="3"/>
    <n v="10"/>
    <s v="GC Nais"/>
    <s v="3-13"/>
    <n v="3"/>
    <n v="13"/>
    <s v="Placement"/>
    <s v="Qualifier Placement"/>
    <s v="Win"/>
    <n v="3"/>
    <m/>
    <n v="3"/>
    <n v="1.5"/>
  </r>
  <r>
    <x v="0"/>
    <x v="2"/>
    <x v="1"/>
    <s v="26_NI_G22"/>
    <s v="Kleio Thessaloniki – Aisti Sport 0-6"/>
    <n v="6"/>
    <n v="0"/>
    <n v="6"/>
    <s v="Kleio Thessaloniki"/>
    <s v="0-6"/>
    <n v="0"/>
    <n v="6"/>
    <s v="Placement"/>
    <s v="Qualifier Placement"/>
    <s v="Win"/>
    <n v="3"/>
    <m/>
    <n v="3"/>
    <n v="1.5"/>
  </r>
  <r>
    <x v="0"/>
    <x v="3"/>
    <x v="2"/>
    <s v="26_OV_G03"/>
    <s v="ASCND Marseille – CA Cultural 4-8"/>
    <n v="4"/>
    <n v="8"/>
    <n v="-4"/>
    <s v="ASCND Marseille"/>
    <s v="4-8"/>
    <n v="4"/>
    <n v="8"/>
    <s v="Group"/>
    <s v="Qualifier Group Stage"/>
    <s v="Loss"/>
    <n v="0"/>
    <m/>
    <n v="0"/>
    <n v="0"/>
  </r>
  <r>
    <x v="0"/>
    <x v="3"/>
    <x v="2"/>
    <s v="26_OV_G07"/>
    <s v="BSI Copenhagen – ASCND Marseille 13-18"/>
    <n v="18"/>
    <n v="13"/>
    <n v="5"/>
    <s v="BSI Copenhagen"/>
    <s v="13-18"/>
    <n v="13"/>
    <n v="18"/>
    <s v="Group"/>
    <s v="Qualifier Group Stage"/>
    <s v="Win"/>
    <n v="3"/>
    <m/>
    <n v="3"/>
    <n v="1.5"/>
  </r>
  <r>
    <x v="0"/>
    <x v="3"/>
    <x v="2"/>
    <s v="26_OV_G11"/>
    <s v="ASCND Marseille – FSBU Gothenburg 9-11"/>
    <n v="9"/>
    <n v="11"/>
    <n v="-2"/>
    <s v="ASCND Marseille"/>
    <s v="9-11"/>
    <n v="9"/>
    <n v="11"/>
    <s v="Group"/>
    <s v="Qualifier Group Stage"/>
    <s v="Loss"/>
    <n v="0"/>
    <m/>
    <n v="0"/>
    <n v="0"/>
  </r>
  <r>
    <x v="0"/>
    <x v="3"/>
    <x v="2"/>
    <s v="26_OV_G14"/>
    <s v="ASCND Marseille – SSG Blista Marburg 9-5"/>
    <n v="9"/>
    <n v="5"/>
    <n v="4"/>
    <s v="ASCND Marseille"/>
    <s v="9-5"/>
    <n v="9"/>
    <n v="5"/>
    <s v="QF"/>
    <s v="Qualifier QF/SF/Medal"/>
    <s v="Win"/>
    <n v="4.5"/>
    <m/>
    <n v="4.5"/>
    <n v="2.25"/>
  </r>
  <r>
    <x v="0"/>
    <x v="3"/>
    <x v="2"/>
    <s v="26_OV_G18"/>
    <s v="FSBU Gothenburg – ASCND Marseille 8-3"/>
    <n v="3"/>
    <n v="8"/>
    <n v="-5"/>
    <s v="FSBU Gothenburg"/>
    <s v="8-3"/>
    <n v="8"/>
    <n v="3"/>
    <s v="SF"/>
    <s v="Qualifier QF/SF/Medal"/>
    <s v="Loss"/>
    <n v="0"/>
    <m/>
    <n v="0"/>
    <n v="0"/>
  </r>
  <r>
    <x v="0"/>
    <x v="3"/>
    <x v="2"/>
    <s v="26_OV_G23"/>
    <s v="ASCND Marseille – CA Cultural 5-14"/>
    <n v="5"/>
    <n v="14"/>
    <n v="-9"/>
    <s v="ASCND Marseille"/>
    <s v="5-14"/>
    <n v="5"/>
    <n v="14"/>
    <s v="Medal"/>
    <s v="Qualifier QF/SF/Medal"/>
    <s v="Loss"/>
    <n v="0"/>
    <m/>
    <n v="0"/>
    <n v="0"/>
  </r>
  <r>
    <x v="0"/>
    <x v="3"/>
    <x v="3"/>
    <s v="26_OV_G02"/>
    <s v="ASD Omero Bergamo – SSG Blista Marburg 6-5"/>
    <n v="6"/>
    <n v="5"/>
    <n v="1"/>
    <s v="ASD Omero Bergamo"/>
    <s v="6-5"/>
    <n v="6"/>
    <n v="5"/>
    <s v="Group"/>
    <s v="Qualifier Group Stage"/>
    <s v="Win"/>
    <n v="3"/>
    <m/>
    <n v="3"/>
    <n v="1.5"/>
  </r>
  <r>
    <x v="0"/>
    <x v="3"/>
    <x v="3"/>
    <s v="26_OV_G06"/>
    <s v="Fen Tigers – ASD Omero Bergamo 7-3"/>
    <n v="3"/>
    <n v="7"/>
    <n v="-4"/>
    <s v="Fen Tigers"/>
    <s v="7-3"/>
    <n v="7"/>
    <n v="3"/>
    <s v="Group"/>
    <s v="Qualifier Group Stage"/>
    <s v="Loss"/>
    <n v="0"/>
    <m/>
    <n v="0"/>
    <n v="0"/>
  </r>
  <r>
    <x v="0"/>
    <x v="3"/>
    <x v="3"/>
    <s v="26_OV_G09"/>
    <s v="FC Porto – ASD Omero Bergamo 10-3"/>
    <n v="3"/>
    <n v="10"/>
    <n v="-7"/>
    <s v="FC Porto"/>
    <s v="10-3"/>
    <n v="10"/>
    <n v="3"/>
    <s v="Group"/>
    <s v="Qualifier Group Stage"/>
    <s v="Loss"/>
    <n v="0"/>
    <m/>
    <n v="0"/>
    <n v="0"/>
  </r>
  <r>
    <x v="0"/>
    <x v="3"/>
    <x v="3"/>
    <s v="26_OV_G15"/>
    <s v="CA Cultural – ASD Omero Bergamo 5-2"/>
    <n v="2"/>
    <n v="5"/>
    <n v="-3"/>
    <s v="CA Cultural"/>
    <s v="5-2"/>
    <n v="5"/>
    <n v="2"/>
    <s v="QF"/>
    <s v="Qualifier QF/SF/Medal"/>
    <s v="Loss"/>
    <n v="0"/>
    <m/>
    <n v="0"/>
    <n v="0"/>
  </r>
  <r>
    <x v="0"/>
    <x v="3"/>
    <x v="3"/>
    <s v="26_OV_G19"/>
    <s v="ASD Omero Bergamo – BSI Copenhagen 9-8"/>
    <n v="9"/>
    <n v="8"/>
    <n v="1"/>
    <s v="ASD Omero Bergamo"/>
    <s v="9-8"/>
    <n v="9"/>
    <n v="8"/>
    <s v="Placement"/>
    <s v="Qualifier Placement"/>
    <s v="Win"/>
    <n v="3"/>
    <m/>
    <n v="3"/>
    <n v="1.5"/>
  </r>
  <r>
    <x v="0"/>
    <x v="3"/>
    <x v="3"/>
    <s v="26_OV_G22"/>
    <s v="FC Porto – ASD Omero Bergamo 6-7"/>
    <n v="7"/>
    <n v="6"/>
    <n v="1"/>
    <s v="FC Porto"/>
    <s v="6-7"/>
    <n v="6"/>
    <n v="7"/>
    <s v="Placement"/>
    <s v="Qualifier Placement"/>
    <s v="Win"/>
    <n v="3"/>
    <m/>
    <n v="3"/>
    <n v="1.5"/>
  </r>
  <r>
    <x v="1"/>
    <x v="4"/>
    <x v="3"/>
    <s v="25_RO_G02"/>
    <s v="ASD Omero Bergamo – FSBU Gothenburg 4:12"/>
    <n v="4"/>
    <n v="12"/>
    <n v="-8"/>
    <s v="ASD Omero Bergamo"/>
    <s v="4:12"/>
    <n v="4"/>
    <n v="12"/>
    <s v="Group"/>
    <s v="Qualifier Group Stage"/>
    <s v="Loss"/>
    <n v="0"/>
    <n v="0"/>
    <n v="0"/>
    <m/>
  </r>
  <r>
    <x v="1"/>
    <x v="4"/>
    <x v="3"/>
    <s v="25_RO_G05"/>
    <s v="RGC Hansa – ASD Omero Bergamo 10:3"/>
    <n v="3"/>
    <n v="10"/>
    <n v="-7"/>
    <s v="RGC Hansa"/>
    <s v="10:3"/>
    <n v="10"/>
    <n v="3"/>
    <s v="Group"/>
    <s v="Qualifier Group Stage"/>
    <s v="Loss"/>
    <n v="0"/>
    <n v="0"/>
    <n v="0"/>
    <m/>
  </r>
  <r>
    <x v="1"/>
    <x v="4"/>
    <x v="3"/>
    <s v="25_RO_G09"/>
    <s v="Invasport Ukraine – ASD Omero Bergamo 12:5"/>
    <n v="5"/>
    <n v="12"/>
    <n v="-7"/>
    <s v="Invasport Ukraine"/>
    <s v="12:5"/>
    <n v="12"/>
    <n v="5"/>
    <s v="Group"/>
    <s v="Qualifier Group Stage"/>
    <s v="Loss"/>
    <n v="0"/>
    <n v="0"/>
    <n v="0"/>
    <m/>
  </r>
  <r>
    <x v="1"/>
    <x v="4"/>
    <x v="3"/>
    <s v="25_RO_G15"/>
    <s v="NGA Lions – ASD Omero Bergamo 4:4 After over time 5:4"/>
    <n v="4"/>
    <n v="5"/>
    <n v="-1"/>
    <s v="NGA Lions"/>
    <s v="5:4"/>
    <n v="5"/>
    <n v="4"/>
    <s v="QF"/>
    <s v="Qualifier QF/SF/Medal in OT or Extra Throws"/>
    <s v="Loss"/>
    <n v="1.5"/>
    <n v="1.5"/>
    <n v="0.75"/>
    <m/>
  </r>
  <r>
    <x v="1"/>
    <x v="4"/>
    <x v="3"/>
    <s v="25_RO_G19"/>
    <s v="ASD Omero Bergamo – Invasport Ukraine 9:11"/>
    <n v="9"/>
    <n v="11"/>
    <n v="-2"/>
    <s v="ASD Omero Bergamo"/>
    <s v="9:11"/>
    <n v="9"/>
    <n v="11"/>
    <s v="Placement"/>
    <s v="Qualifier Placement"/>
    <s v="Loss"/>
    <n v="0"/>
    <n v="0"/>
    <n v="0"/>
    <m/>
  </r>
  <r>
    <x v="1"/>
    <x v="4"/>
    <x v="3"/>
    <s v="25_RO_G21"/>
    <s v="GC Perun – ASD Omero Bergamo 3:13"/>
    <n v="13"/>
    <n v="3"/>
    <n v="10"/>
    <s v="GC Perun"/>
    <s v="3:13"/>
    <n v="3"/>
    <n v="13"/>
    <s v="Placement"/>
    <s v="Qualifier Placement"/>
    <s v="Win"/>
    <n v="3"/>
    <n v="3"/>
    <n v="1.5"/>
    <m/>
  </r>
  <r>
    <x v="0"/>
    <x v="0"/>
    <x v="4"/>
    <s v="26_BA_G04"/>
    <s v="Aarhus Goalball – BRUK-BET Termalica Krakow 8-7"/>
    <n v="7"/>
    <n v="8"/>
    <n v="-1"/>
    <s v="Aarhus Goalball"/>
    <s v="8-7"/>
    <n v="8"/>
    <n v="7"/>
    <s v="Group"/>
    <s v="Qualifier Group Stage"/>
    <s v="Loss"/>
    <n v="0"/>
    <m/>
    <n v="0"/>
    <n v="0"/>
  </r>
  <r>
    <x v="0"/>
    <x v="0"/>
    <x v="4"/>
    <s v="26_BA_G07"/>
    <s v="BRUK-BET Termalica Krakow – Northern Allstars 15-9"/>
    <n v="15"/>
    <n v="9"/>
    <n v="6"/>
    <s v="BRUK-BET Termalica Krakow"/>
    <s v="15-9"/>
    <n v="15"/>
    <n v="9"/>
    <s v="Group"/>
    <s v="Qualifier Group Stage"/>
    <s v="Win"/>
    <n v="3"/>
    <m/>
    <n v="3"/>
    <n v="1.5"/>
  </r>
  <r>
    <x v="0"/>
    <x v="0"/>
    <x v="4"/>
    <s v="26_BA_G12"/>
    <s v="BRUK-BET Termalica Krakow – Sporting CP 14-8"/>
    <n v="14"/>
    <n v="8"/>
    <n v="6"/>
    <s v="BRUK-BET Termalica Krakow"/>
    <s v="14-8"/>
    <n v="14"/>
    <n v="8"/>
    <s v="Group"/>
    <s v="Qualifier Group Stage"/>
    <s v="Win"/>
    <n v="3"/>
    <m/>
    <n v="3"/>
    <n v="1.5"/>
  </r>
  <r>
    <x v="0"/>
    <x v="0"/>
    <x v="4"/>
    <s v="26_BA_G14"/>
    <s v="BRUK-BET Termalica Krakow – Näpäjä 10-5"/>
    <n v="10"/>
    <n v="5"/>
    <n v="5"/>
    <s v="BRUK-BET Termalica Krakow"/>
    <s v="10-5"/>
    <n v="10"/>
    <n v="5"/>
    <s v="QF"/>
    <s v="Qualifier QF/SF/Medal"/>
    <s v="Win"/>
    <n v="4.5"/>
    <m/>
    <n v="4.5"/>
    <n v="2.25"/>
  </r>
  <r>
    <x v="0"/>
    <x v="0"/>
    <x v="4"/>
    <s v="26_BA_G18"/>
    <s v="RGC Hansa – BRUK-BET Termalica Krakow 6-8"/>
    <n v="8"/>
    <n v="6"/>
    <n v="2"/>
    <s v="RGC Hansa"/>
    <s v="6-8"/>
    <n v="6"/>
    <n v="8"/>
    <s v="SF"/>
    <s v="Qualifier QF/SF/Medal"/>
    <s v="Win"/>
    <n v="4.5"/>
    <m/>
    <n v="4.5"/>
    <n v="2.25"/>
  </r>
  <r>
    <x v="0"/>
    <x v="0"/>
    <x v="4"/>
    <s v="26_BA_G24"/>
    <s v="BRUK-BET Termalica Krakow – Aarhus Goalball 6-9"/>
    <n v="6"/>
    <n v="9"/>
    <n v="-3"/>
    <s v="BRUK-BET Termalica Krakow"/>
    <s v="6-9"/>
    <n v="6"/>
    <n v="9"/>
    <s v="Medal"/>
    <s v="Qualifier QF/SF/Medal"/>
    <s v="Loss"/>
    <n v="0"/>
    <m/>
    <n v="0"/>
    <n v="0"/>
  </r>
  <r>
    <x v="2"/>
    <x v="5"/>
    <x v="4"/>
    <s v="25_MS_G11"/>
    <s v="BRUK-BET Termalica Krakow – CSAVH Lyon 9-13"/>
    <n v="9"/>
    <n v="13"/>
    <n v="-4"/>
    <s v="BRUK-BET Termalica Krakow"/>
    <s v="9-13"/>
    <n v="9"/>
    <n v="13"/>
    <s v="Group"/>
    <s v="Finals Group Stage"/>
    <s v="Loss"/>
    <n v="0"/>
    <n v="0"/>
    <n v="0"/>
    <m/>
  </r>
  <r>
    <x v="2"/>
    <x v="5"/>
    <x v="4"/>
    <s v="25_MS_G15"/>
    <s v="RGC Hansa – BRUK-BET Termalica Krakow 10-7"/>
    <n v="7"/>
    <n v="10"/>
    <n v="-3"/>
    <s v="RGC Hansa"/>
    <s v="10-7"/>
    <n v="10"/>
    <n v="7"/>
    <s v="Group"/>
    <s v="Finals Group Stage"/>
    <s v="Loss"/>
    <n v="0"/>
    <n v="0"/>
    <n v="0"/>
    <m/>
  </r>
  <r>
    <x v="2"/>
    <x v="5"/>
    <x v="4"/>
    <s v="25_MS_G29"/>
    <s v="RGc Hansa – BRUK-BET Termalica Krakow Ot. 9-8"/>
    <n v="8"/>
    <n v="9"/>
    <n v="-1"/>
    <s v="RGC Hansa"/>
    <s v="9-8"/>
    <n v="9"/>
    <n v="8"/>
    <s v="SF"/>
    <s v="Finals QF/SF/Medal in OT or Extra Throws"/>
    <s v="Loss"/>
    <n v="2"/>
    <n v="2"/>
    <n v="1"/>
    <m/>
  </r>
  <r>
    <x v="2"/>
    <x v="5"/>
    <x v="4"/>
    <s v="25_MS_G32"/>
    <s v="GC Nikšić – BRUK-BET Termalica Krakow Ot. 10-9"/>
    <n v="9"/>
    <n v="10"/>
    <n v="-1"/>
    <s v="GC Nikšić"/>
    <s v="10-9"/>
    <n v="10"/>
    <n v="9"/>
    <s v="Medal"/>
    <s v="Finals QF/SF/Medal in OT or Extra Throws"/>
    <s v="Loss"/>
    <n v="2"/>
    <n v="2"/>
    <n v="1"/>
    <m/>
  </r>
  <r>
    <x v="2"/>
    <x v="5"/>
    <x v="4"/>
    <s v="25_MS_G02"/>
    <s v="BRUK-BET Termalica Krakow – NGA Lions 8-5"/>
    <n v="8"/>
    <n v="5"/>
    <n v="3"/>
    <s v="BRUK-BET Termalica Krakow"/>
    <s v="8-5"/>
    <n v="8"/>
    <n v="5"/>
    <s v="Group"/>
    <s v="Finals Group Stage"/>
    <s v="Win"/>
    <n v="4.5"/>
    <n v="4.5"/>
    <n v="2.25"/>
    <m/>
  </r>
  <r>
    <x v="2"/>
    <x v="5"/>
    <x v="4"/>
    <s v="25_MS_G06"/>
    <s v="Näpäjä – BRUK-BET Termalica Krakow 7-10"/>
    <n v="10"/>
    <n v="7"/>
    <n v="3"/>
    <s v="Näpäjä"/>
    <s v="7-10"/>
    <n v="7"/>
    <n v="10"/>
    <s v="Group"/>
    <s v="Finals Group Stage"/>
    <s v="Win"/>
    <n v="4.5"/>
    <n v="4.5"/>
    <n v="2.25"/>
    <m/>
  </r>
  <r>
    <x v="2"/>
    <x v="5"/>
    <x v="4"/>
    <s v="25_MS_G25"/>
    <s v="Old Power – BRUK-BET Termalica Krakow 8-13"/>
    <n v="13"/>
    <n v="8"/>
    <n v="5"/>
    <s v="Old Power"/>
    <s v="8-13"/>
    <n v="8"/>
    <n v="13"/>
    <s v="QF"/>
    <s v="Finals QF/SF/Medal"/>
    <s v="Win"/>
    <n v="6"/>
    <n v="6"/>
    <n v="3"/>
    <m/>
  </r>
  <r>
    <x v="1"/>
    <x v="6"/>
    <x v="4"/>
    <s v="25_PG_G03"/>
    <s v="Nilüfer Buges – Bruk-Bet Termalica Krakow 5-12"/>
    <n v="12"/>
    <n v="5"/>
    <n v="7"/>
    <s v="Nilüfer Buges"/>
    <s v="5-12"/>
    <n v="5"/>
    <n v="12"/>
    <s v="Group"/>
    <s v="Qualifier Group Stage"/>
    <s v="Win"/>
    <n v="3"/>
    <n v="3"/>
    <n v="1.5"/>
    <m/>
  </r>
  <r>
    <x v="1"/>
    <x v="6"/>
    <x v="4"/>
    <s v="25_PG_G07"/>
    <s v="Bruk-Bet Termalica Krakow – GC Nikšić 9-4"/>
    <n v="9"/>
    <n v="4"/>
    <n v="5"/>
    <s v="BRUK-BET Termalica Krakow"/>
    <s v="9-4"/>
    <n v="9"/>
    <n v="4"/>
    <s v="Group"/>
    <s v="Qualifier Group Stage"/>
    <s v="Win"/>
    <n v="3"/>
    <n v="3"/>
    <n v="1.5"/>
    <m/>
  </r>
  <r>
    <x v="1"/>
    <x v="6"/>
    <x v="4"/>
    <s v="25_PG_G11"/>
    <s v="BSI Copenhagen – Bruk-Bet Termalica Krakow 4-12"/>
    <n v="12"/>
    <n v="4"/>
    <n v="8"/>
    <s v="BSI Copenhagen"/>
    <s v="4-12"/>
    <n v="4"/>
    <n v="12"/>
    <s v="Group"/>
    <s v="Qualifier Group Stage"/>
    <s v="Win"/>
    <n v="3"/>
    <n v="3"/>
    <n v="1.5"/>
    <m/>
  </r>
  <r>
    <x v="1"/>
    <x v="6"/>
    <x v="4"/>
    <s v="25_PG_G21"/>
    <s v="GC Nais – Bruk-Bet Termalica Krakow 2-12"/>
    <n v="12"/>
    <n v="2"/>
    <n v="10"/>
    <s v="GC Nais"/>
    <s v="2-12"/>
    <n v="2"/>
    <n v="12"/>
    <s v="Group"/>
    <s v="Qualifier Group Stage"/>
    <s v="Win"/>
    <n v="3"/>
    <n v="3"/>
    <n v="1.5"/>
    <m/>
  </r>
  <r>
    <x v="1"/>
    <x v="6"/>
    <x v="4"/>
    <s v="25_PG_G14"/>
    <s v="Bruk-Bet Termalica Krakow – Kleio Thessaloniki 15-9"/>
    <n v="15"/>
    <n v="9"/>
    <n v="6"/>
    <s v="BRUK-BET Termalica Krakow"/>
    <s v="15-9"/>
    <n v="15"/>
    <n v="9"/>
    <s v="Group"/>
    <s v="Qualifier Group Stage"/>
    <s v="Win"/>
    <n v="3"/>
    <n v="3"/>
    <n v="1.5"/>
    <m/>
  </r>
  <r>
    <x v="1"/>
    <x v="6"/>
    <x v="4"/>
    <s v="25_PG_G18"/>
    <s v="Bruk-Bet Termalica Krakow – IFAS Stockholm 12-9"/>
    <n v="12"/>
    <n v="9"/>
    <n v="3"/>
    <s v="BRUK-BET Termalica Krakow"/>
    <s v="12-9"/>
    <n v="12"/>
    <n v="9"/>
    <s v="Group"/>
    <s v="Qualifier Group Stage"/>
    <s v="Win"/>
    <n v="3"/>
    <n v="3"/>
    <n v="1.5"/>
    <m/>
  </r>
  <r>
    <x v="1"/>
    <x v="6"/>
    <x v="4"/>
    <s v="25_PG_GXX"/>
    <s v="No QF/SF or Medals. 1st Place = +4.5 Pts to Compensate"/>
    <n v="0"/>
    <n v="0"/>
    <n v="0"/>
    <s v="N/A"/>
    <n v="0"/>
    <n v="0"/>
    <n v="0"/>
    <s v="Group"/>
    <s v="Special Points"/>
    <s v="N/A"/>
    <n v="4.5"/>
    <n v="4.5"/>
    <n v="2.25"/>
    <m/>
  </r>
  <r>
    <x v="0"/>
    <x v="3"/>
    <x v="5"/>
    <s v="26_OV_G19"/>
    <s v="ASD Omero Bergamo – BSI Copenhagen 9-8"/>
    <n v="8"/>
    <n v="9"/>
    <n v="-1"/>
    <s v="ASD Omero Bergamo"/>
    <s v="9-8"/>
    <n v="9"/>
    <n v="8"/>
    <s v="Placement"/>
    <s v="Qualifier Placement"/>
    <s v="Loss"/>
    <n v="0"/>
    <m/>
    <n v="0"/>
    <n v="0"/>
  </r>
  <r>
    <x v="0"/>
    <x v="3"/>
    <x v="5"/>
    <s v="26_OV_G07"/>
    <s v="BSI Copenhagen – ASCND Marseille 13-18"/>
    <n v="13"/>
    <n v="18"/>
    <n v="-5"/>
    <s v="BSI Copenhagen"/>
    <s v="13-18"/>
    <n v="13"/>
    <n v="18"/>
    <s v="Group"/>
    <s v="Qualifier Group Stage"/>
    <s v="Loss"/>
    <n v="0"/>
    <m/>
    <n v="0"/>
    <n v="0"/>
  </r>
  <r>
    <x v="0"/>
    <x v="3"/>
    <x v="5"/>
    <s v="26_OV_G12"/>
    <s v="BSI Copenhagen – CA Cultural 3-7"/>
    <n v="3"/>
    <n v="7"/>
    <n v="-4"/>
    <s v="BSI Copenhagen"/>
    <s v="3-7"/>
    <n v="3"/>
    <n v="7"/>
    <s v="Group"/>
    <s v="Qualifier Group Stage"/>
    <s v="Loss"/>
    <n v="0"/>
    <m/>
    <n v="0"/>
    <n v="0"/>
  </r>
  <r>
    <x v="0"/>
    <x v="3"/>
    <x v="5"/>
    <s v="26_OV_G16"/>
    <s v="Fen Tigers – BSI Copenhagen 6-3"/>
    <n v="3"/>
    <n v="6"/>
    <n v="-3"/>
    <s v="Fen Tigers"/>
    <s v="6-3"/>
    <n v="6"/>
    <n v="3"/>
    <s v="QF"/>
    <s v="Qualifier QF/SF/Medal"/>
    <s v="Loss"/>
    <n v="0"/>
    <m/>
    <n v="0"/>
    <n v="0"/>
  </r>
  <r>
    <x v="0"/>
    <x v="3"/>
    <x v="5"/>
    <s v="26_OV_G04"/>
    <s v="FSBU Gothenburg – BSI Copenhagen 3-5"/>
    <n v="5"/>
    <n v="3"/>
    <n v="2"/>
    <s v="FSBU Gothenburg"/>
    <s v="3-5"/>
    <n v="3"/>
    <n v="5"/>
    <s v="Group"/>
    <s v="Qualifier Group Stage"/>
    <s v="Win"/>
    <n v="3"/>
    <m/>
    <n v="3"/>
    <n v="1.5"/>
  </r>
  <r>
    <x v="0"/>
    <x v="3"/>
    <x v="5"/>
    <s v="26_OV_G21"/>
    <s v="SSG Blista Marburg – BSI Copenhagen 11-6"/>
    <n v="6"/>
    <n v="11"/>
    <n v="-5"/>
    <s v="SSG Blista Marburg"/>
    <s v="11-6"/>
    <n v="11"/>
    <n v="6"/>
    <s v="Placement"/>
    <s v="Qualifier Placement"/>
    <s v="Loss"/>
    <n v="0"/>
    <m/>
    <n v="0"/>
    <n v="0"/>
  </r>
  <r>
    <x v="1"/>
    <x v="6"/>
    <x v="5"/>
    <s v="25_PG_G11"/>
    <s v="BSI Copenhagen – Bruk-Bet Termalica Krakow 4-12"/>
    <n v="4"/>
    <n v="12"/>
    <n v="-8"/>
    <s v="BSI Copenhagen"/>
    <s v="4-12"/>
    <n v="4"/>
    <n v="12"/>
    <s v="Group"/>
    <s v="Qualifier Group Stage"/>
    <s v="Loss"/>
    <n v="0"/>
    <n v="0"/>
    <n v="0"/>
    <m/>
  </r>
  <r>
    <x v="1"/>
    <x v="6"/>
    <x v="5"/>
    <s v="25_PG_G01"/>
    <s v="BSI Copenhagen – GC Nais 14-8"/>
    <n v="14"/>
    <n v="8"/>
    <n v="6"/>
    <s v="BSI Copenhagen"/>
    <s v="14-8"/>
    <n v="14"/>
    <n v="8"/>
    <s v="Group"/>
    <s v="Qualifier Group Stage"/>
    <s v="Win"/>
    <n v="3"/>
    <n v="3"/>
    <n v="1.5"/>
    <m/>
  </r>
  <r>
    <x v="1"/>
    <x v="6"/>
    <x v="5"/>
    <s v="25_PG_G20"/>
    <s v="BSI Copenhagen – Kleio Thessaloniki 13-3"/>
    <n v="13"/>
    <n v="3"/>
    <n v="10"/>
    <s v="BSI Copenhagen"/>
    <s v="13-3"/>
    <n v="13"/>
    <n v="3"/>
    <s v="Group"/>
    <s v="Qualifier Group Stage"/>
    <s v="Win"/>
    <n v="3"/>
    <n v="3"/>
    <n v="1.5"/>
    <m/>
  </r>
  <r>
    <x v="1"/>
    <x v="6"/>
    <x v="5"/>
    <s v="25_PG_G04"/>
    <s v="GC Nikšić – BSI Copenhagen 15-9"/>
    <n v="9"/>
    <n v="15"/>
    <n v="-6"/>
    <s v="GC Nikšić"/>
    <s v="15-9"/>
    <n v="15"/>
    <n v="9"/>
    <s v="Group"/>
    <s v="Qualifier Group Stage"/>
    <s v="Loss"/>
    <n v="0"/>
    <n v="0"/>
    <n v="0"/>
    <m/>
  </r>
  <r>
    <x v="1"/>
    <x v="6"/>
    <x v="5"/>
    <s v="25_PG_G08"/>
    <s v="IFAS Stockholm – BSI Copenhagen 2-5"/>
    <n v="5"/>
    <n v="2"/>
    <n v="3"/>
    <s v="IFAS Stockholm"/>
    <s v="2-5"/>
    <n v="2"/>
    <n v="5"/>
    <s v="Group"/>
    <s v="Qualifier Group Stage"/>
    <s v="Win"/>
    <n v="3"/>
    <n v="3"/>
    <n v="1.5"/>
    <m/>
  </r>
  <r>
    <x v="1"/>
    <x v="6"/>
    <x v="5"/>
    <s v="25_PG_G15"/>
    <s v="Nilüfer Buges – BSI Copenhagen 8-4"/>
    <n v="4"/>
    <n v="8"/>
    <n v="-4"/>
    <s v="Nilüfer Buges"/>
    <s v="8-4"/>
    <n v="8"/>
    <n v="4"/>
    <s v="Group"/>
    <s v="Qualifier Group Stage"/>
    <s v="Loss"/>
    <n v="0"/>
    <n v="0"/>
    <n v="0"/>
    <m/>
  </r>
  <r>
    <x v="0"/>
    <x v="3"/>
    <x v="6"/>
    <s v="26_OV_G03"/>
    <s v="ASCND Marseille – CA Cultural 4-8"/>
    <n v="8"/>
    <n v="4"/>
    <n v="4"/>
    <s v="ASCND Marseille"/>
    <s v="4-8"/>
    <n v="4"/>
    <n v="8"/>
    <s v="Group"/>
    <s v="Qualifier Group Stage"/>
    <s v="Win"/>
    <n v="3"/>
    <m/>
    <n v="3"/>
    <n v="1.5"/>
  </r>
  <r>
    <x v="0"/>
    <x v="3"/>
    <x v="6"/>
    <s v="26_OV_G12"/>
    <s v="BSI Copenhagen – CA Cultural 3-7"/>
    <n v="7"/>
    <n v="3"/>
    <n v="4"/>
    <s v="BSI Copenhagen"/>
    <s v="3-7"/>
    <n v="3"/>
    <n v="7"/>
    <s v="Group"/>
    <s v="Qualifier Group Stage"/>
    <s v="Win"/>
    <n v="3"/>
    <m/>
    <n v="3"/>
    <n v="1.5"/>
  </r>
  <r>
    <x v="0"/>
    <x v="3"/>
    <x v="6"/>
    <s v="26_OV_G08"/>
    <s v="CA Cultural – FSBU Gothenburg 10-1"/>
    <n v="10"/>
    <n v="1"/>
    <n v="9"/>
    <s v="CA Cultural"/>
    <s v="10-1"/>
    <n v="10"/>
    <n v="1"/>
    <s v="Group"/>
    <s v="Qualifier Group Stage"/>
    <s v="Win"/>
    <n v="3"/>
    <m/>
    <n v="3"/>
    <n v="1.5"/>
  </r>
  <r>
    <x v="0"/>
    <x v="3"/>
    <x v="6"/>
    <s v="26_OV_G23"/>
    <s v="ASCND Marseille – CA Cultural 5-14"/>
    <n v="14"/>
    <n v="5"/>
    <n v="9"/>
    <s v="ASCND Marseille"/>
    <s v="5-14"/>
    <n v="5"/>
    <n v="14"/>
    <s v="Medal"/>
    <s v="Qualifier QF/SF/Medal"/>
    <s v="Win"/>
    <n v="4.5"/>
    <m/>
    <n v="4.5"/>
    <n v="2.25"/>
  </r>
  <r>
    <x v="0"/>
    <x v="3"/>
    <x v="6"/>
    <s v="26_OV_G15"/>
    <s v="CA Cultural – ASD Omero Bergamo 5-2"/>
    <n v="5"/>
    <n v="2"/>
    <n v="3"/>
    <s v="CA Cultural"/>
    <s v="5-2"/>
    <n v="5"/>
    <n v="2"/>
    <s v="QF"/>
    <s v="Qualifier QF/SF/Medal"/>
    <s v="Win"/>
    <n v="4.5"/>
    <m/>
    <n v="4.5"/>
    <n v="2.25"/>
  </r>
  <r>
    <x v="0"/>
    <x v="3"/>
    <x v="6"/>
    <s v="26_OV_G20"/>
    <s v="CA Cultural – Fen Tigers 6-7"/>
    <n v="6"/>
    <n v="7"/>
    <n v="-1"/>
    <s v="CA Cultural"/>
    <s v="6-7"/>
    <n v="6"/>
    <n v="7"/>
    <s v="SF"/>
    <s v="Qualifier QF/SF/Medal"/>
    <s v="Loss"/>
    <n v="0"/>
    <m/>
    <n v="0"/>
    <n v="0"/>
  </r>
  <r>
    <x v="0"/>
    <x v="2"/>
    <x v="7"/>
    <s v="26_NI_G03"/>
    <s v="Club Fenix – Cankaya 0:10"/>
    <n v="10"/>
    <n v="0"/>
    <n v="10"/>
    <s v="Club Fenix"/>
    <s v="0:10"/>
    <n v="0"/>
    <n v="10"/>
    <s v="Group"/>
    <s v="Qualifier Group Stage"/>
    <s v="Win"/>
    <n v="3"/>
    <m/>
    <n v="3"/>
    <n v="1.5"/>
  </r>
  <r>
    <x v="0"/>
    <x v="2"/>
    <x v="7"/>
    <s v="26_NI_G08"/>
    <s v="Cankaya – GC Nikšić 16-6"/>
    <n v="16"/>
    <n v="6"/>
    <n v="10"/>
    <s v="Cankaya"/>
    <s v="16-6"/>
    <n v="16"/>
    <n v="6"/>
    <s v="Group"/>
    <s v="Qualifier Group Stage"/>
    <s v="Win"/>
    <n v="3"/>
    <m/>
    <n v="3"/>
    <n v="1.5"/>
  </r>
  <r>
    <x v="0"/>
    <x v="2"/>
    <x v="7"/>
    <s v="26_NI_G12"/>
    <s v="Old Power – Cankaya 11-6"/>
    <n v="6"/>
    <n v="11"/>
    <n v="-5"/>
    <s v="Old Power"/>
    <s v="11-6"/>
    <n v="11"/>
    <n v="6"/>
    <s v="Group"/>
    <s v="Qualifier Group Stage"/>
    <s v="Loss"/>
    <n v="0"/>
    <m/>
    <n v="0"/>
    <n v="0"/>
  </r>
  <r>
    <x v="0"/>
    <x v="2"/>
    <x v="7"/>
    <s v="26_NI_G14"/>
    <s v="Cankaya – Kleio Thessaloniki 10-0"/>
    <n v="10"/>
    <n v="0"/>
    <n v="10"/>
    <s v="Cankaya"/>
    <s v="10-0"/>
    <n v="10"/>
    <n v="0"/>
    <s v="QF"/>
    <s v="Qualifier QF/SF/Medal"/>
    <s v="Win"/>
    <n v="4.5"/>
    <m/>
    <n v="4.5"/>
    <n v="2.25"/>
  </r>
  <r>
    <x v="0"/>
    <x v="2"/>
    <x v="7"/>
    <s v="26_NI_G18"/>
    <s v="Nilüfer Buges – Cankaya 13-4"/>
    <n v="4"/>
    <n v="13"/>
    <n v="-9"/>
    <s v="Nilüfer Buges"/>
    <s v="13-4"/>
    <n v="13"/>
    <n v="4"/>
    <s v="SF"/>
    <s v="Qualifier QF/SF/Medal"/>
    <s v="Loss"/>
    <n v="0"/>
    <m/>
    <n v="0"/>
    <n v="0"/>
  </r>
  <r>
    <x v="0"/>
    <x v="2"/>
    <x v="7"/>
    <s v="26_NI_G23"/>
    <s v="Cankaya – GC Nikšić 12-4"/>
    <n v="12"/>
    <n v="4"/>
    <n v="8"/>
    <s v="Cankaya"/>
    <s v="12-4"/>
    <n v="12"/>
    <n v="4"/>
    <s v="Medal"/>
    <s v="Qualifier QF/SF/Medal"/>
    <s v="Win"/>
    <n v="4.5"/>
    <m/>
    <n v="4.5"/>
    <n v="2.25"/>
  </r>
  <r>
    <x v="0"/>
    <x v="2"/>
    <x v="8"/>
    <s v="26_NI_G03"/>
    <s v="Club Fenix – Cankaya 0:10"/>
    <n v="0"/>
    <n v="10"/>
    <n v="-10"/>
    <s v="Club Fenix"/>
    <s v="0:10"/>
    <n v="0"/>
    <n v="10"/>
    <s v="Group"/>
    <s v="Qualifier Group Stage"/>
    <s v="Loss"/>
    <n v="0"/>
    <m/>
    <n v="0"/>
    <n v="0"/>
  </r>
  <r>
    <x v="0"/>
    <x v="2"/>
    <x v="8"/>
    <s v="26_NI_G07"/>
    <s v="Old Power – Club Fenix 14-4"/>
    <n v="4"/>
    <n v="14"/>
    <n v="-10"/>
    <s v="Old Power"/>
    <s v="14-4"/>
    <n v="14"/>
    <n v="4"/>
    <s v="Group"/>
    <s v="Qualifier Group Stage"/>
    <s v="Loss"/>
    <n v="0"/>
    <m/>
    <n v="0"/>
    <n v="0"/>
  </r>
  <r>
    <x v="0"/>
    <x v="2"/>
    <x v="8"/>
    <s v="26_NI_G11"/>
    <s v="Club Fenix – GC Nikšić 4-14"/>
    <n v="4"/>
    <n v="14"/>
    <n v="-10"/>
    <s v="Club Fenix"/>
    <s v="4-14"/>
    <n v="4"/>
    <n v="14"/>
    <s v="Group"/>
    <s v="Qualifier Group Stage"/>
    <s v="Loss"/>
    <n v="0"/>
    <m/>
    <n v="0"/>
    <n v="0"/>
  </r>
  <r>
    <x v="0"/>
    <x v="2"/>
    <x v="8"/>
    <s v="26_NI_G13"/>
    <s v="Nilüfer Buges – Club Fenix 12-2"/>
    <n v="2"/>
    <n v="12"/>
    <n v="-10"/>
    <s v="Nilüfer Buges"/>
    <s v="12-2"/>
    <n v="12"/>
    <n v="2"/>
    <s v="QF"/>
    <s v="Qualifier QF/SF/Medal"/>
    <s v="Loss"/>
    <n v="0"/>
    <m/>
    <n v="0"/>
    <n v="0"/>
  </r>
  <r>
    <x v="0"/>
    <x v="2"/>
    <x v="8"/>
    <s v="26_NI_G17"/>
    <s v="Club Fenix – Kleio Thessaloniki 2:11"/>
    <n v="2"/>
    <n v="11"/>
    <n v="-9"/>
    <s v="Club Fenix"/>
    <s v="2:11"/>
    <n v="2"/>
    <n v="11"/>
    <s v="Placement"/>
    <s v="Qualifier Placement"/>
    <s v="Loss"/>
    <n v="0"/>
    <m/>
    <n v="0"/>
    <n v="0"/>
  </r>
  <r>
    <x v="0"/>
    <x v="2"/>
    <x v="8"/>
    <s v="26_NI_G21"/>
    <s v="Club Fenix – GC Nais 6-15"/>
    <n v="6"/>
    <n v="15"/>
    <n v="-9"/>
    <s v="Club Fenix"/>
    <s v="6-15"/>
    <n v="6"/>
    <n v="15"/>
    <s v="Placement"/>
    <s v="Qualifier Placement"/>
    <s v="Loss"/>
    <n v="0"/>
    <m/>
    <n v="0"/>
    <n v="0"/>
  </r>
  <r>
    <x v="2"/>
    <x v="5"/>
    <x v="9"/>
    <s v="25_MS_G11"/>
    <s v="BRUK-BET Termalica Krakow – CSAVH Lyon 9-13"/>
    <n v="13"/>
    <n v="9"/>
    <n v="4"/>
    <s v="BRUK-BET Termalica Krakow"/>
    <s v="9-13"/>
    <n v="9"/>
    <n v="13"/>
    <s v="Group"/>
    <s v="Finals Group Stage"/>
    <s v="Win"/>
    <n v="4.5"/>
    <n v="4.5"/>
    <n v="2.25"/>
    <m/>
  </r>
  <r>
    <x v="2"/>
    <x v="5"/>
    <x v="9"/>
    <s v="25_MS_G17"/>
    <s v="CSAVH Lyon – Näpäjä 5-2"/>
    <n v="5"/>
    <n v="2"/>
    <n v="3"/>
    <s v="CSAVH Lyon"/>
    <s v="5-2"/>
    <n v="5"/>
    <n v="2"/>
    <s v="Group"/>
    <s v="Finals Group Stage"/>
    <s v="Win"/>
    <n v="4.5"/>
    <n v="4.5"/>
    <n v="2.25"/>
    <m/>
  </r>
  <r>
    <x v="2"/>
    <x v="5"/>
    <x v="9"/>
    <s v="25_MS_G31"/>
    <s v="CSAVH Lyon – Nilüfer Buges 8-7"/>
    <n v="8"/>
    <n v="7"/>
    <n v="1"/>
    <s v="CSAVH Lyon"/>
    <s v="8-7"/>
    <n v="8"/>
    <n v="7"/>
    <s v="Placement"/>
    <s v="Finals Placement"/>
    <s v="Win"/>
    <n v="4.5"/>
    <n v="4.5"/>
    <n v="2.25"/>
    <m/>
  </r>
  <r>
    <x v="2"/>
    <x v="5"/>
    <x v="9"/>
    <s v="25_MS_G26"/>
    <s v="NGA Lions – CSAVH Lyon 5-6"/>
    <n v="6"/>
    <n v="5"/>
    <n v="1"/>
    <s v="NGA Lions"/>
    <s v="5-6"/>
    <n v="5"/>
    <n v="6"/>
    <s v="Placement"/>
    <s v="Finals Placement"/>
    <s v="Win"/>
    <n v="4.5"/>
    <n v="4.5"/>
    <n v="2.25"/>
    <m/>
  </r>
  <r>
    <x v="2"/>
    <x v="5"/>
    <x v="9"/>
    <s v="25_MS_G04"/>
    <s v="CSAVH Lyon – RGC Hansa 14-14"/>
    <n v="14"/>
    <n v="14"/>
    <n v="0"/>
    <s v="CSAVH Lyon"/>
    <s v="14-14"/>
    <n v="14"/>
    <n v="14"/>
    <s v="Group"/>
    <s v="Finals Group Stage"/>
    <s v="Draw"/>
    <n v="1.5"/>
    <n v="1.5"/>
    <n v="0.75"/>
    <m/>
  </r>
  <r>
    <x v="2"/>
    <x v="5"/>
    <x v="9"/>
    <s v="25_MS_G23"/>
    <s v="CSAVH Lyon – Ha. Vi. 2 Bruxelles 3-8"/>
    <n v="3"/>
    <n v="8"/>
    <n v="-5"/>
    <s v="CSAVH Lyon"/>
    <s v="3-8"/>
    <n v="3"/>
    <n v="8"/>
    <s v="QF"/>
    <s v="Finals QF/SF/Medal"/>
    <s v="Loss"/>
    <n v="0"/>
    <n v="0"/>
    <n v="0"/>
    <m/>
  </r>
  <r>
    <x v="2"/>
    <x v="5"/>
    <x v="9"/>
    <s v="25_MS_G08"/>
    <s v="NGA Lions – CSAVH Lyon 12-7"/>
    <n v="7"/>
    <n v="12"/>
    <n v="-5"/>
    <s v="NGA Lions"/>
    <s v="12-7"/>
    <n v="12"/>
    <n v="7"/>
    <s v="Group"/>
    <s v="Finals Group Stage"/>
    <s v="Loss"/>
    <n v="0"/>
    <n v="0"/>
    <n v="0"/>
    <m/>
  </r>
  <r>
    <x v="1"/>
    <x v="1"/>
    <x v="9"/>
    <s v="25_PB_G23"/>
    <s v="Fen Tigers – CSAVH Lyon 4-7"/>
    <n v="7"/>
    <n v="4"/>
    <n v="3"/>
    <s v="Fen Tigers"/>
    <s v="4-7"/>
    <n v="4"/>
    <n v="7"/>
    <s v="Medal"/>
    <s v="Qualifier QF/SF/Medal"/>
    <s v="Win"/>
    <n v="4.5"/>
    <n v="4.5"/>
    <n v="2.25"/>
    <m/>
  </r>
  <r>
    <x v="1"/>
    <x v="1"/>
    <x v="9"/>
    <s v="25_PB_G16"/>
    <s v="Sporting CP – CSAVH Lyon 6-8"/>
    <n v="8"/>
    <n v="6"/>
    <n v="2"/>
    <s v="Sporting CP"/>
    <s v="6-8"/>
    <n v="6"/>
    <n v="8"/>
    <s v="QF"/>
    <s v="Qualifier QF/SF/Medal"/>
    <s v="Win"/>
    <n v="4.5"/>
    <n v="4.5"/>
    <n v="2.25"/>
    <m/>
  </r>
  <r>
    <x v="1"/>
    <x v="1"/>
    <x v="9"/>
    <s v="25_PB_G08"/>
    <s v="Fen Tigers – CSAVH Lyon 6-7"/>
    <n v="7"/>
    <n v="6"/>
    <n v="1"/>
    <s v="Fen Tigers"/>
    <s v="6-7"/>
    <n v="6"/>
    <n v="7"/>
    <s v="Group"/>
    <s v="Qualifier Group Stage"/>
    <s v="Win"/>
    <n v="3"/>
    <n v="3"/>
    <n v="1.5"/>
    <m/>
  </r>
  <r>
    <x v="1"/>
    <x v="1"/>
    <x v="9"/>
    <s v="25_PB_G11"/>
    <s v="CSAVH Lyon – Aarhus Goalball 4-8"/>
    <n v="4"/>
    <n v="8"/>
    <n v="-4"/>
    <s v="CSAVH Lyon"/>
    <s v="4-8"/>
    <n v="4"/>
    <n v="8"/>
    <s v="Group"/>
    <s v="Qualifier Group Stage"/>
    <s v="Loss"/>
    <n v="0"/>
    <n v="0"/>
    <n v="0"/>
    <m/>
  </r>
  <r>
    <x v="1"/>
    <x v="1"/>
    <x v="9"/>
    <s v="25_PB_G03"/>
    <s v="CSAVH Lyon – Ha. Vi. 2 Bruxelles 6-12"/>
    <n v="6"/>
    <n v="12"/>
    <n v="-6"/>
    <s v="CSAVH Lyon"/>
    <s v="6-12"/>
    <n v="6"/>
    <n v="12"/>
    <s v="Group"/>
    <s v="Qualifier Group Stage"/>
    <s v="Loss"/>
    <n v="0"/>
    <n v="0"/>
    <n v="0"/>
    <m/>
  </r>
  <r>
    <x v="1"/>
    <x v="1"/>
    <x v="9"/>
    <s v="25_PB_G20"/>
    <s v="Ha. Vi. 2 Bruxelles – CSAVH Lyon 10-4"/>
    <n v="4"/>
    <n v="10"/>
    <n v="-6"/>
    <s v="Ha. Vi. 2 Bruxelles"/>
    <s v="10-4"/>
    <n v="10"/>
    <n v="4"/>
    <s v="SF"/>
    <s v="Qualifier QF/SF/Medal"/>
    <s v="Loss"/>
    <n v="0"/>
    <n v="0"/>
    <n v="0"/>
    <m/>
  </r>
  <r>
    <x v="2"/>
    <x v="5"/>
    <x v="10"/>
    <s v="25_MS_G01"/>
    <s v="GC Nikšić – FC Porto 5-4"/>
    <n v="4"/>
    <n v="5"/>
    <n v="-1"/>
    <s v="GC Nikšić"/>
    <s v="5-4"/>
    <n v="5"/>
    <n v="4"/>
    <s v="Group"/>
    <s v="Finals Group Stage"/>
    <s v="Loss"/>
    <n v="0"/>
    <n v="0"/>
    <n v="0"/>
    <m/>
  </r>
  <r>
    <x v="2"/>
    <x v="5"/>
    <x v="10"/>
    <s v="25_MS_G07"/>
    <s v="FC Porto – Old Power 6-11"/>
    <n v="6"/>
    <n v="11"/>
    <n v="-5"/>
    <s v="FC Porto"/>
    <s v="6-11"/>
    <n v="6"/>
    <n v="11"/>
    <s v="Group"/>
    <s v="Finals Group Stage"/>
    <s v="Loss"/>
    <n v="0"/>
    <n v="0"/>
    <n v="0"/>
    <m/>
  </r>
  <r>
    <x v="2"/>
    <x v="5"/>
    <x v="10"/>
    <s v="25_MS_G14"/>
    <s v="Ha. Vi. 2 Bruxelles – FC Porto 10-5"/>
    <n v="5"/>
    <n v="10"/>
    <n v="-5"/>
    <s v="Ha. Vi. 2 Bruxelles"/>
    <s v="10-5"/>
    <n v="10"/>
    <n v="5"/>
    <s v="Group"/>
    <s v="Finals Group Stage"/>
    <s v="Loss"/>
    <n v="0"/>
    <n v="0"/>
    <n v="0"/>
    <m/>
  </r>
  <r>
    <x v="2"/>
    <x v="5"/>
    <x v="10"/>
    <s v="25_MS_G20"/>
    <s v="FC Porto – Nilüfer Buges 7-11"/>
    <n v="7"/>
    <n v="11"/>
    <n v="-4"/>
    <s v="FC Porto"/>
    <s v="7-11"/>
    <n v="7"/>
    <n v="11"/>
    <s v="Group"/>
    <s v="Finals Group Stage"/>
    <s v="Loss"/>
    <n v="0"/>
    <n v="0"/>
    <n v="0"/>
    <m/>
  </r>
  <r>
    <x v="2"/>
    <x v="5"/>
    <x v="10"/>
    <s v="25_MS_G21"/>
    <s v="FC Porto – Näpäjä 8-7"/>
    <n v="8"/>
    <n v="7"/>
    <n v="1"/>
    <s v="FC Porto"/>
    <s v="8-7"/>
    <n v="8"/>
    <n v="7"/>
    <s v="Placement"/>
    <s v="Finals Placement"/>
    <s v="Win"/>
    <n v="4.5"/>
    <n v="4.5"/>
    <n v="2.25"/>
    <m/>
  </r>
  <r>
    <x v="2"/>
    <x v="5"/>
    <x v="10"/>
    <s v="25_MS_GXX"/>
    <s v="15 extra points; host of Final Stage 2025"/>
    <n v="0"/>
    <n v="0"/>
    <n v="0"/>
    <n v="0"/>
    <n v="0"/>
    <n v="0"/>
    <n v="0"/>
    <s v="N/A"/>
    <s v="Special Points"/>
    <s v="N/A"/>
    <n v="15"/>
    <n v="15"/>
    <n v="7.5"/>
    <m/>
  </r>
  <r>
    <x v="0"/>
    <x v="3"/>
    <x v="10"/>
    <s v="26_OV_G01"/>
    <s v="FC Porto – Fen Tigers 6-6"/>
    <n v="6"/>
    <n v="6"/>
    <n v="0"/>
    <s v="FC Porto"/>
    <s v="6-6"/>
    <n v="6"/>
    <n v="6"/>
    <s v="Group"/>
    <s v="Qualifier Group Stage"/>
    <s v="Draw"/>
    <n v="1"/>
    <m/>
    <n v="1"/>
    <n v="0.5"/>
  </r>
  <r>
    <x v="0"/>
    <x v="3"/>
    <x v="10"/>
    <s v="26_OV_G05"/>
    <s v="SSG Blista Marburg – FC Porto 7-11"/>
    <n v="11"/>
    <n v="7"/>
    <n v="4"/>
    <s v="SSG Blista Marburg"/>
    <s v="7-11"/>
    <n v="7"/>
    <n v="11"/>
    <s v="Group"/>
    <s v="Qualifier Group Stage"/>
    <s v="Win"/>
    <n v="3"/>
    <m/>
    <n v="3"/>
    <n v="1.5"/>
  </r>
  <r>
    <x v="0"/>
    <x v="3"/>
    <x v="10"/>
    <s v="26_OV_G09"/>
    <s v="FC Porto – ASD Omero Bergamo 10-3"/>
    <n v="10"/>
    <n v="3"/>
    <n v="7"/>
    <s v="FC Porto"/>
    <s v="10-3"/>
    <n v="10"/>
    <n v="3"/>
    <s v="Group"/>
    <s v="Qualifier Group Stage"/>
    <s v="Win"/>
    <n v="3"/>
    <m/>
    <n v="3"/>
    <n v="1.5"/>
  </r>
  <r>
    <x v="0"/>
    <x v="3"/>
    <x v="10"/>
    <s v="26_OV_G13"/>
    <s v="FC Porto – FSBU Gothenburg 5-7"/>
    <n v="5"/>
    <n v="7"/>
    <n v="-2"/>
    <s v="FC Porto"/>
    <s v="5-7"/>
    <n v="5"/>
    <n v="7"/>
    <s v="QF"/>
    <s v="Qualifier QF/SF/Medal"/>
    <s v="Loss"/>
    <n v="0"/>
    <m/>
    <n v="0"/>
    <n v="0"/>
  </r>
  <r>
    <x v="0"/>
    <x v="3"/>
    <x v="10"/>
    <s v="26_OV_G17"/>
    <s v="FC Porto – SSG Blista Marburg 9-8"/>
    <n v="9"/>
    <n v="8"/>
    <n v="1"/>
    <s v="FC Porto"/>
    <s v="9-8"/>
    <n v="9"/>
    <n v="8"/>
    <s v="Placement"/>
    <s v="Qualifier Placement"/>
    <s v="Win"/>
    <n v="3"/>
    <m/>
    <n v="3"/>
    <n v="1.5"/>
  </r>
  <r>
    <x v="0"/>
    <x v="3"/>
    <x v="10"/>
    <s v="26_OV_G22"/>
    <s v="FC Porto – ASD Omero Bergamo 6-7"/>
    <n v="6"/>
    <n v="7"/>
    <n v="-1"/>
    <s v="FC Porto"/>
    <s v="6-7"/>
    <n v="6"/>
    <n v="7"/>
    <s v="Placement"/>
    <s v="Qualifier Placement"/>
    <s v="Loss"/>
    <n v="0"/>
    <m/>
    <n v="0"/>
    <n v="0"/>
  </r>
  <r>
    <x v="0"/>
    <x v="3"/>
    <x v="11"/>
    <s v="26_OV_G20"/>
    <s v="CA Cultural – Fen Tigers 6-7"/>
    <n v="7"/>
    <n v="6"/>
    <n v="1"/>
    <s v="CA Cultural"/>
    <s v="6-7"/>
    <n v="6"/>
    <n v="7"/>
    <s v="SF"/>
    <s v="Qualifier QF/SF/Medal"/>
    <s v="Win"/>
    <n v="4.5"/>
    <m/>
    <n v="4.5"/>
    <n v="2.25"/>
  </r>
  <r>
    <x v="0"/>
    <x v="3"/>
    <x v="11"/>
    <s v="26_OV_G01"/>
    <s v="FC Porto – Fen Tigers 6-6"/>
    <n v="6"/>
    <n v="6"/>
    <n v="0"/>
    <s v="FC Porto"/>
    <s v="6-6"/>
    <n v="6"/>
    <n v="6"/>
    <s v="Group"/>
    <s v="Qualifier Group Stage"/>
    <s v="Draw"/>
    <n v="1"/>
    <m/>
    <n v="1"/>
    <n v="0.5"/>
  </r>
  <r>
    <x v="0"/>
    <x v="3"/>
    <x v="11"/>
    <s v="26_OV_G06"/>
    <s v="Fen Tigers – ASD Omero Bergamo 7-3"/>
    <n v="7"/>
    <n v="3"/>
    <n v="4"/>
    <s v="Fen Tigers"/>
    <s v="7-3"/>
    <n v="7"/>
    <n v="3"/>
    <s v="Group"/>
    <s v="Qualifier Group Stage"/>
    <s v="Win"/>
    <n v="3"/>
    <m/>
    <n v="3"/>
    <n v="1.5"/>
  </r>
  <r>
    <x v="0"/>
    <x v="3"/>
    <x v="11"/>
    <s v="26_OV_G16"/>
    <s v="Fen Tigers – BSI Copenhagen 6-3"/>
    <n v="6"/>
    <n v="3"/>
    <n v="3"/>
    <s v="Fen Tigers"/>
    <s v="6-3"/>
    <n v="6"/>
    <n v="3"/>
    <s v="QF"/>
    <s v="Qualifier QF/SF/Medal"/>
    <s v="Win"/>
    <n v="4.5"/>
    <m/>
    <n v="4.5"/>
    <n v="2.25"/>
  </r>
  <r>
    <x v="0"/>
    <x v="3"/>
    <x v="11"/>
    <s v="26_OV_G24"/>
    <s v="FSBU Gothenburg – Fen Tigers 10-6"/>
    <n v="6"/>
    <n v="10"/>
    <n v="-4"/>
    <s v="FSBU Gothenburg"/>
    <s v="10-6"/>
    <n v="10"/>
    <n v="6"/>
    <s v="Medal"/>
    <s v="Qualifier QF/SF/Medal"/>
    <s v="Loss"/>
    <n v="0"/>
    <m/>
    <n v="0"/>
    <n v="0"/>
  </r>
  <r>
    <x v="0"/>
    <x v="3"/>
    <x v="11"/>
    <s v="26_OV_G10"/>
    <s v="SSG Blista Marburg – Fen Tigers 9-1"/>
    <n v="1"/>
    <n v="9"/>
    <n v="-8"/>
    <s v="SSG Blista Marburg"/>
    <s v="9-1"/>
    <n v="9"/>
    <n v="1"/>
    <s v="Group"/>
    <s v="Qualifier Group Stage"/>
    <s v="Loss"/>
    <n v="0"/>
    <m/>
    <n v="0"/>
    <n v="0"/>
  </r>
  <r>
    <x v="1"/>
    <x v="1"/>
    <x v="11"/>
    <s v="25_PB_G23"/>
    <s v="Fen Tigers – CSAVH Lyon 4-7"/>
    <n v="4"/>
    <n v="7"/>
    <n v="-3"/>
    <s v="Fen Tigers"/>
    <s v="4-7"/>
    <n v="4"/>
    <n v="7"/>
    <s v="Medal"/>
    <s v="Qualifier QF/SF/Medal"/>
    <s v="Loss"/>
    <n v="0"/>
    <n v="0"/>
    <n v="0"/>
    <m/>
  </r>
  <r>
    <x v="1"/>
    <x v="1"/>
    <x v="11"/>
    <s v="25_PB_G08"/>
    <s v="Fen Tigers – CSAVH Lyon 6-7"/>
    <n v="6"/>
    <n v="7"/>
    <n v="-1"/>
    <s v="Fen Tigers"/>
    <s v="6-7"/>
    <n v="6"/>
    <n v="7"/>
    <s v="Group"/>
    <s v="Qualifier Group Stage"/>
    <s v="Loss"/>
    <n v="0"/>
    <n v="0"/>
    <n v="0"/>
    <m/>
  </r>
  <r>
    <x v="1"/>
    <x v="1"/>
    <x v="11"/>
    <s v="25_PB_G12"/>
    <s v="Ha. Vi. 2 Bruxelles – Fen Tigers 11-7"/>
    <n v="7"/>
    <n v="11"/>
    <n v="-4"/>
    <s v="Ha. Vi. 2 Bruxelles"/>
    <s v="11-7"/>
    <n v="11"/>
    <n v="7"/>
    <s v="Group"/>
    <s v="Qualifier Group Stage"/>
    <s v="Loss"/>
    <n v="0"/>
    <n v="0"/>
    <n v="0"/>
    <m/>
  </r>
  <r>
    <x v="1"/>
    <x v="1"/>
    <x v="11"/>
    <s v="25_PB_G18"/>
    <s v="Old Power – Fen Tigers 8-5"/>
    <n v="5"/>
    <n v="8"/>
    <n v="-3"/>
    <s v="Old Power"/>
    <s v="8-5"/>
    <n v="8"/>
    <n v="5"/>
    <s v="SF"/>
    <s v="Qualifier QF/SF/Medal"/>
    <s v="Loss"/>
    <n v="0"/>
    <n v="0"/>
    <n v="0"/>
    <m/>
  </r>
  <r>
    <x v="1"/>
    <x v="1"/>
    <x v="11"/>
    <s v="25_PB_G04"/>
    <s v="Aarhus Goalball – Fen Tigers 6-11"/>
    <n v="11"/>
    <n v="6"/>
    <n v="5"/>
    <s v="Aarhus Goalball"/>
    <s v="6-11"/>
    <n v="6"/>
    <n v="11"/>
    <s v="Group"/>
    <s v="Qualifier Group Stage"/>
    <s v="Win"/>
    <n v="3"/>
    <n v="3"/>
    <n v="1.5"/>
    <m/>
  </r>
  <r>
    <x v="1"/>
    <x v="1"/>
    <x v="11"/>
    <s v="25_PB_G14"/>
    <s v="Fen Tigers – Northern Allstars 6-3"/>
    <n v="6"/>
    <n v="3"/>
    <n v="3"/>
    <s v="Fen Tigers"/>
    <s v="6-3"/>
    <n v="6"/>
    <n v="3"/>
    <s v="QF"/>
    <s v="Qualifier QF/SF/Medal"/>
    <s v="Win"/>
    <n v="4.5"/>
    <n v="4.5"/>
    <n v="2.25"/>
    <m/>
  </r>
  <r>
    <x v="0"/>
    <x v="3"/>
    <x v="12"/>
    <s v="26_OV_G11"/>
    <s v="ASCND Marseille – FSBU Gothenburg 9-11"/>
    <n v="11"/>
    <n v="9"/>
    <n v="2"/>
    <s v="ASCND Marseille"/>
    <s v="9-11"/>
    <n v="9"/>
    <n v="11"/>
    <s v="Group"/>
    <s v="Qualifier Group Stage"/>
    <s v="Win"/>
    <n v="3"/>
    <m/>
    <n v="3"/>
    <n v="1.5"/>
  </r>
  <r>
    <x v="0"/>
    <x v="3"/>
    <x v="12"/>
    <s v="26_OV_G08"/>
    <s v="CA Cultural – FSBU Gothenburg 10-1"/>
    <n v="1"/>
    <n v="10"/>
    <n v="-9"/>
    <s v="CA Cultural"/>
    <s v="10-1"/>
    <n v="10"/>
    <n v="1"/>
    <s v="Group"/>
    <s v="Qualifier Group Stage"/>
    <s v="Loss"/>
    <n v="0"/>
    <m/>
    <n v="0"/>
    <n v="0"/>
  </r>
  <r>
    <x v="0"/>
    <x v="3"/>
    <x v="12"/>
    <s v="26_OV_G13"/>
    <s v="FC Porto – FSBU Gothenburg 5-7"/>
    <n v="7"/>
    <n v="5"/>
    <n v="2"/>
    <s v="FC Porto"/>
    <s v="5-7"/>
    <n v="5"/>
    <n v="7"/>
    <s v="QF"/>
    <s v="Qualifier QF/SF/Medal"/>
    <s v="Win"/>
    <n v="4.5"/>
    <m/>
    <n v="4.5"/>
    <n v="2.25"/>
  </r>
  <r>
    <x v="0"/>
    <x v="3"/>
    <x v="12"/>
    <s v="26_OV_G18"/>
    <s v="FSBU Gothenburg – ASCND Marseille 8-3"/>
    <n v="8"/>
    <n v="3"/>
    <n v="5"/>
    <s v="FSBU Gothenburg"/>
    <s v="8-3"/>
    <n v="8"/>
    <n v="3"/>
    <s v="SF"/>
    <s v="Qualifier QF/SF/Medal"/>
    <s v="Win"/>
    <n v="4.5"/>
    <m/>
    <n v="4.5"/>
    <n v="2.25"/>
  </r>
  <r>
    <x v="0"/>
    <x v="3"/>
    <x v="12"/>
    <s v="26_OV_G04"/>
    <s v="FSBU Gothenburg – BSI Copenhagen 3-5"/>
    <n v="3"/>
    <n v="5"/>
    <n v="-2"/>
    <s v="FSBU Gothenburg"/>
    <s v="3-5"/>
    <n v="3"/>
    <n v="5"/>
    <s v="Group"/>
    <s v="Qualifier Group Stage"/>
    <s v="Loss"/>
    <n v="0"/>
    <m/>
    <n v="0"/>
    <n v="0"/>
  </r>
  <r>
    <x v="0"/>
    <x v="3"/>
    <x v="12"/>
    <s v="26_OV_G24"/>
    <s v="FSBU Gothenburg – Fen Tigers 10-6"/>
    <n v="10"/>
    <n v="6"/>
    <n v="4"/>
    <s v="FSBU Gothenburg"/>
    <s v="10-6"/>
    <n v="10"/>
    <n v="6"/>
    <s v="Medal"/>
    <s v="Qualifier QF/SF/Medal"/>
    <s v="Win"/>
    <n v="4.5"/>
    <m/>
    <n v="4.5"/>
    <n v="2.25"/>
  </r>
  <r>
    <x v="1"/>
    <x v="4"/>
    <x v="12"/>
    <s v="25_RO_G02"/>
    <s v="ASD Omero Bergamo – FSBU Gothenburg 4:12"/>
    <n v="12"/>
    <n v="4"/>
    <n v="8"/>
    <s v="ASD Omero Bergamo"/>
    <s v="4:12"/>
    <n v="4"/>
    <n v="12"/>
    <s v="Group"/>
    <s v="Qualifier Group Stage"/>
    <s v="Win"/>
    <n v="3"/>
    <n v="3"/>
    <n v="1.5"/>
    <m/>
  </r>
  <r>
    <x v="1"/>
    <x v="4"/>
    <x v="12"/>
    <s v="25_RO_G06"/>
    <s v="FSBU Gothenburg – Invasport Ukraine 1:8"/>
    <n v="1"/>
    <n v="8"/>
    <n v="-7"/>
    <s v="FSBU Gothenburg"/>
    <s v="1:8"/>
    <n v="1"/>
    <n v="8"/>
    <s v="Group"/>
    <s v="Qualifier Group Stage"/>
    <s v="Loss"/>
    <n v="0"/>
    <n v="0"/>
    <n v="0"/>
    <m/>
  </r>
  <r>
    <x v="1"/>
    <x v="4"/>
    <x v="12"/>
    <s v="25_RO_G22"/>
    <s v="FSBU Gothenburg – Invasport Ukraine 3:2"/>
    <n v="3"/>
    <n v="2"/>
    <n v="1"/>
    <s v="FSBU Gothenburg"/>
    <s v="3:2"/>
    <n v="3"/>
    <n v="2"/>
    <s v="Placement"/>
    <s v="Qualifier Placement"/>
    <s v="Win"/>
    <n v="3"/>
    <n v="3"/>
    <n v="1.5"/>
    <m/>
  </r>
  <r>
    <x v="1"/>
    <x v="4"/>
    <x v="12"/>
    <s v="25_RO_G17"/>
    <s v="GC Perun – FSBU Gothenburg 7:14"/>
    <n v="14"/>
    <n v="7"/>
    <n v="7"/>
    <s v="GC Perun"/>
    <s v="7:14"/>
    <n v="7"/>
    <n v="14"/>
    <s v="Placement"/>
    <s v="Qualifier Placement"/>
    <s v="Win"/>
    <n v="3"/>
    <n v="3"/>
    <n v="1.5"/>
    <m/>
  </r>
  <r>
    <x v="1"/>
    <x v="4"/>
    <x v="12"/>
    <s v="25_RO_G10"/>
    <s v="RGC Hansa – FSBU Gothenburg 13:3"/>
    <n v="3"/>
    <n v="13"/>
    <n v="-10"/>
    <s v="RGC Hansa"/>
    <s v="13:3"/>
    <n v="13"/>
    <n v="3"/>
    <s v="Group"/>
    <s v="Qualifier Group Stage"/>
    <s v="Loss"/>
    <n v="0"/>
    <n v="0"/>
    <n v="0"/>
    <m/>
  </r>
  <r>
    <x v="1"/>
    <x v="4"/>
    <x v="12"/>
    <s v="25_RO_G14"/>
    <s v="SSG Blista Marburg – FSBU Gothenburg 10:5"/>
    <n v="5"/>
    <n v="10"/>
    <n v="-5"/>
    <s v="SSG Blista Marburg"/>
    <s v="10:5"/>
    <n v="10"/>
    <n v="5"/>
    <s v="QF"/>
    <s v="Qualifier QF/SF/Medal"/>
    <s v="Loss"/>
    <n v="0"/>
    <n v="0"/>
    <n v="0"/>
    <m/>
  </r>
  <r>
    <x v="3"/>
    <x v="7"/>
    <x v="13"/>
    <s v="26_BW_GXX"/>
    <s v="15 extra points; host of Final Stage 2026"/>
    <n v="0"/>
    <n v="0"/>
    <n v="0"/>
    <n v="0"/>
    <n v="0"/>
    <n v="0"/>
    <n v="0"/>
    <s v="N/A"/>
    <s v="Special Points"/>
    <s v="N/A"/>
    <n v="15"/>
    <m/>
    <n v="15"/>
    <n v="7.5"/>
  </r>
  <r>
    <x v="1"/>
    <x v="1"/>
    <x v="13"/>
    <s v="25_PB_G01"/>
    <s v="Northern Allstars – Füchse Berlin 14-4"/>
    <n v="4"/>
    <n v="14"/>
    <n v="-10"/>
    <s v="Northern Allstars"/>
    <s v="14-4"/>
    <n v="14"/>
    <n v="4"/>
    <s v="Group"/>
    <s v="Qualifier Group Stage"/>
    <s v="Loss"/>
    <n v="0"/>
    <n v="0"/>
    <n v="0"/>
    <m/>
  </r>
  <r>
    <x v="1"/>
    <x v="1"/>
    <x v="13"/>
    <s v="25_PB_G05"/>
    <s v="Füchse Berlin – Old Power 6-13"/>
    <n v="6"/>
    <n v="13"/>
    <n v="-7"/>
    <s v="Füchse Berlin"/>
    <s v="6-13"/>
    <n v="6"/>
    <n v="13"/>
    <s v="Group"/>
    <s v="Qualifier Group Stage"/>
    <s v="Loss"/>
    <n v="0"/>
    <n v="0"/>
    <n v="0"/>
    <m/>
  </r>
  <r>
    <x v="1"/>
    <x v="1"/>
    <x v="13"/>
    <s v="25_PB_G10"/>
    <s v="Füchse Berlin – Sporting CP 1-11"/>
    <n v="1"/>
    <n v="11"/>
    <n v="-10"/>
    <s v="Füchse Berlin"/>
    <s v="1-11"/>
    <n v="1"/>
    <n v="11"/>
    <s v="Group"/>
    <s v="Qualifier Group Stage"/>
    <s v="Loss"/>
    <n v="0"/>
    <n v="0"/>
    <n v="0"/>
    <m/>
  </r>
  <r>
    <x v="1"/>
    <x v="1"/>
    <x v="13"/>
    <s v="25_PB_G15"/>
    <s v="Ha. Vi. 2 Bruxelles – Füchse Berlin 10-3"/>
    <n v="3"/>
    <n v="10"/>
    <n v="-7"/>
    <s v="Ha. Vi. 2 Bruxelles"/>
    <s v="10-3"/>
    <n v="10"/>
    <n v="3"/>
    <s v="QF"/>
    <s v="Qualifier QF/SF/Medal"/>
    <s v="Loss"/>
    <n v="0"/>
    <n v="0"/>
    <n v="0"/>
    <m/>
  </r>
  <r>
    <x v="1"/>
    <x v="1"/>
    <x v="13"/>
    <s v="25_PB_G19"/>
    <s v="Füchse Berlin – Sporting CP 6-11"/>
    <n v="6"/>
    <n v="11"/>
    <n v="-5"/>
    <s v="Füchse Berlin"/>
    <s v="6-11"/>
    <n v="6"/>
    <n v="11"/>
    <s v="Placement"/>
    <s v="Qualifier Placement"/>
    <s v="Loss"/>
    <n v="0"/>
    <n v="0"/>
    <n v="0"/>
    <m/>
  </r>
  <r>
    <x v="1"/>
    <x v="1"/>
    <x v="13"/>
    <s v="25_PB_G21"/>
    <s v="Northern Allstars – Füchse Berlin 11-1"/>
    <n v="1"/>
    <n v="11"/>
    <n v="-10"/>
    <s v="Northern Allstars"/>
    <s v="11-1"/>
    <n v="11"/>
    <n v="1"/>
    <s v="Placement"/>
    <s v="Qualifier Placement"/>
    <s v="Loss"/>
    <n v="0"/>
    <n v="0"/>
    <n v="0"/>
    <m/>
  </r>
  <r>
    <x v="0"/>
    <x v="2"/>
    <x v="14"/>
    <s v="26_NI_G21"/>
    <s v="Club Fenix – GC Nais 6-15"/>
    <n v="15"/>
    <n v="6"/>
    <n v="9"/>
    <s v="Club Fenix"/>
    <s v="6-15"/>
    <n v="6"/>
    <n v="15"/>
    <s v="Placement"/>
    <s v="Qualifier Placement"/>
    <s v="Win"/>
    <n v="3"/>
    <m/>
    <n v="3"/>
    <n v="1.5"/>
  </r>
  <r>
    <x v="0"/>
    <x v="2"/>
    <x v="14"/>
    <s v="26_NI_G10"/>
    <s v="GC Nais – Aisti Sport 1-11"/>
    <n v="1"/>
    <n v="11"/>
    <n v="-10"/>
    <s v="GC Nais"/>
    <s v="1-11"/>
    <n v="1"/>
    <n v="11"/>
    <s v="Group"/>
    <s v="Qualifier Group Stage"/>
    <s v="Loss"/>
    <n v="0"/>
    <m/>
    <n v="0"/>
    <n v="0"/>
  </r>
  <r>
    <x v="0"/>
    <x v="2"/>
    <x v="14"/>
    <s v="26_NI_G19"/>
    <s v="GC Nais – Aisti Sport 3-13"/>
    <n v="3"/>
    <n v="13"/>
    <n v="-10"/>
    <s v="GC Nais"/>
    <s v="3-13"/>
    <n v="3"/>
    <n v="13"/>
    <s v="Placement"/>
    <s v="Qualifier Placement"/>
    <s v="Loss"/>
    <n v="0"/>
    <m/>
    <n v="0"/>
    <n v="0"/>
  </r>
  <r>
    <x v="0"/>
    <x v="2"/>
    <x v="14"/>
    <s v="26_NI_G05"/>
    <s v="GC Nais – Nilüfer Buges 3-13"/>
    <n v="3"/>
    <n v="13"/>
    <n v="-10"/>
    <s v="GC Nais"/>
    <s v="3-13"/>
    <n v="3"/>
    <n v="13"/>
    <s v="Group"/>
    <s v="Qualifier Group Stage"/>
    <s v="Loss"/>
    <n v="0"/>
    <m/>
    <n v="0"/>
    <n v="0"/>
  </r>
  <r>
    <x v="0"/>
    <x v="2"/>
    <x v="14"/>
    <s v="26_NI_G02"/>
    <s v="Kleio Thessaloniki – GC Nais 7-7"/>
    <n v="7"/>
    <n v="7"/>
    <n v="0"/>
    <s v="Kleio Thessaloniki"/>
    <s v="7-7"/>
    <n v="7"/>
    <n v="7"/>
    <s v="Group"/>
    <s v="Qualifier Group Stage"/>
    <s v="Draw"/>
    <n v="1"/>
    <m/>
    <n v="1"/>
    <n v="0.5"/>
  </r>
  <r>
    <x v="0"/>
    <x v="2"/>
    <x v="14"/>
    <s v="26_NI_G15"/>
    <s v="Old Power – GC Nais 14-5"/>
    <n v="5"/>
    <n v="14"/>
    <n v="-9"/>
    <s v="Old Power"/>
    <s v="14-5"/>
    <n v="14"/>
    <n v="5"/>
    <s v="QF"/>
    <s v="Qualifier QF/SF/Medal"/>
    <s v="Loss"/>
    <n v="0"/>
    <m/>
    <n v="0"/>
    <n v="0"/>
  </r>
  <r>
    <x v="1"/>
    <x v="6"/>
    <x v="14"/>
    <s v="25_PG_G01"/>
    <s v="BSI Copenhagen – GC Nais 14-8"/>
    <n v="8"/>
    <n v="14"/>
    <n v="-6"/>
    <s v="BSI Copenhagen"/>
    <s v="14-8"/>
    <n v="14"/>
    <n v="8"/>
    <s v="Group"/>
    <s v="Qualifier Group Stage"/>
    <s v="Loss"/>
    <n v="0"/>
    <n v="0"/>
    <n v="0"/>
    <m/>
  </r>
  <r>
    <x v="1"/>
    <x v="6"/>
    <x v="14"/>
    <s v="25_PG_G21"/>
    <s v="GC Nais – Bruk-Bet Termalica Krakow 2-12"/>
    <n v="2"/>
    <n v="12"/>
    <n v="-10"/>
    <s v="GC Nais"/>
    <s v="2-12"/>
    <n v="2"/>
    <n v="12"/>
    <s v="Group"/>
    <s v="Qualifier Placement"/>
    <s v="Loss"/>
    <n v="0"/>
    <n v="0"/>
    <n v="0"/>
    <m/>
  </r>
  <r>
    <x v="1"/>
    <x v="6"/>
    <x v="14"/>
    <s v="25_PG_G05"/>
    <s v="GC Nais – IFAS Stockholm 2-12"/>
    <n v="2"/>
    <n v="12"/>
    <n v="-10"/>
    <s v="GC Nais"/>
    <s v="2-12"/>
    <n v="2"/>
    <n v="12"/>
    <s v="Group"/>
    <s v="Qualifier Group Stage"/>
    <s v="Loss"/>
    <n v="0"/>
    <n v="0"/>
    <n v="0"/>
    <m/>
  </r>
  <r>
    <x v="1"/>
    <x v="6"/>
    <x v="14"/>
    <s v="25_PG_G09"/>
    <s v="GC Nais – Nilüfer Buges 7-13"/>
    <n v="7"/>
    <n v="13"/>
    <n v="-6"/>
    <s v="GC Nais"/>
    <s v="7-13"/>
    <n v="7"/>
    <n v="13"/>
    <s v="Group"/>
    <s v="Qualifier Group Stage"/>
    <s v="Loss"/>
    <n v="0"/>
    <n v="0"/>
    <n v="0"/>
    <m/>
  </r>
  <r>
    <x v="1"/>
    <x v="6"/>
    <x v="14"/>
    <s v="25_PG_G13"/>
    <s v="GC Nikšić – GC Nais 13-7"/>
    <n v="7"/>
    <n v="13"/>
    <n v="-6"/>
    <s v="GC Nikšić"/>
    <s v="13-7"/>
    <n v="13"/>
    <n v="7"/>
    <s v="Group"/>
    <s v="Qualifier Group Stage"/>
    <s v="Loss"/>
    <n v="0"/>
    <n v="0"/>
    <n v="0"/>
    <m/>
  </r>
  <r>
    <x v="1"/>
    <x v="6"/>
    <x v="14"/>
    <s v="25_PG_G17"/>
    <s v="Kleio Thessaloniki – GC Nais 11-1"/>
    <n v="1"/>
    <n v="11"/>
    <n v="-10"/>
    <s v="Kleio Thessaloniki"/>
    <s v="11-1"/>
    <n v="11"/>
    <n v="1"/>
    <s v="Group"/>
    <s v="Qualifier Group Stage"/>
    <s v="Loss"/>
    <n v="0"/>
    <n v="0"/>
    <n v="0"/>
    <m/>
  </r>
  <r>
    <x v="2"/>
    <x v="5"/>
    <x v="15"/>
    <s v="25_MS_G27"/>
    <s v="GC Nikšić – Ha. Vi. 2 Bruxelles 5-10"/>
    <n v="5"/>
    <n v="10"/>
    <n v="-5"/>
    <s v="GC Nikšić"/>
    <s v="5-10"/>
    <n v="5"/>
    <n v="10"/>
    <s v="SF"/>
    <s v="Finals QF/SF/Medal"/>
    <s v="Loss"/>
    <n v="0"/>
    <n v="0"/>
    <n v="0"/>
    <m/>
  </r>
  <r>
    <x v="2"/>
    <x v="5"/>
    <x v="15"/>
    <s v="25_MS_G32"/>
    <s v="GC Nikšić – BRUK-BET Termalica Krakow Ot. 10-9"/>
    <n v="10"/>
    <n v="9"/>
    <n v="1"/>
    <s v="GC Nikšić"/>
    <s v="10-9"/>
    <n v="10"/>
    <n v="9"/>
    <s v="Medal"/>
    <s v="Finals QF/SF/Medal in OT or Extra Throws"/>
    <s v="Win"/>
    <n v="4"/>
    <n v="4"/>
    <n v="2"/>
    <m/>
  </r>
  <r>
    <x v="2"/>
    <x v="5"/>
    <x v="15"/>
    <s v="25_MS_G01"/>
    <s v="GC Nikšić – FC Porto 5-4"/>
    <n v="5"/>
    <n v="4"/>
    <n v="1"/>
    <s v="GC Nikšić"/>
    <s v="5-4"/>
    <n v="5"/>
    <n v="4"/>
    <s v="Group"/>
    <s v="Finals Group Stage"/>
    <s v="Win"/>
    <n v="4.5"/>
    <n v="4.5"/>
    <n v="2.25"/>
    <m/>
  </r>
  <r>
    <x v="2"/>
    <x v="5"/>
    <x v="15"/>
    <s v="25_MS_G12"/>
    <s v="GC Nikšić – Old Power 11-10"/>
    <n v="11"/>
    <n v="10"/>
    <n v="1"/>
    <s v="GC Nikšić"/>
    <s v="11-10"/>
    <n v="11"/>
    <n v="10"/>
    <s v="Group"/>
    <s v="Finals Group Stage"/>
    <s v="Win"/>
    <n v="4.5"/>
    <n v="4.5"/>
    <n v="2.25"/>
    <m/>
  </r>
  <r>
    <x v="2"/>
    <x v="5"/>
    <x v="15"/>
    <s v="25_MS_G05"/>
    <s v="Ha. Vi. 2 Bruxelles – GC Nikšić 10-15"/>
    <n v="15"/>
    <n v="10"/>
    <n v="5"/>
    <s v="Ha. Vi. 2 Bruxelles"/>
    <s v="10-15"/>
    <n v="10"/>
    <n v="15"/>
    <s v="Group"/>
    <s v="Finals Group Stage"/>
    <s v="Win"/>
    <n v="4.5"/>
    <n v="4.5"/>
    <n v="2.25"/>
    <m/>
  </r>
  <r>
    <x v="2"/>
    <x v="5"/>
    <x v="15"/>
    <s v="25_MS_G16"/>
    <s v="Nilüfer Buges – GC Nikšić 6-9"/>
    <n v="9"/>
    <n v="6"/>
    <n v="3"/>
    <s v="Nilüfer Buges"/>
    <s v="6-9"/>
    <n v="6"/>
    <n v="9"/>
    <s v="Group"/>
    <s v="Finals Group Stage"/>
    <s v="Win"/>
    <n v="4.5"/>
    <n v="4.5"/>
    <n v="2.25"/>
    <m/>
  </r>
  <r>
    <x v="2"/>
    <x v="5"/>
    <x v="15"/>
    <s v="25_MS_G22"/>
    <s v="GC Nikšić – NGA Lions 11-1"/>
    <n v="11"/>
    <n v="1"/>
    <n v="10"/>
    <s v="GC Nikšić"/>
    <s v="11-1"/>
    <n v="11"/>
    <n v="1"/>
    <s v="QF"/>
    <s v="Finals QF/SF/Medal"/>
    <s v="Win"/>
    <n v="6"/>
    <n v="6"/>
    <n v="3"/>
    <m/>
  </r>
  <r>
    <x v="0"/>
    <x v="2"/>
    <x v="15"/>
    <s v="26_NI_G23"/>
    <s v="Cankaya – GC Nikšić 12-4"/>
    <n v="4"/>
    <n v="12"/>
    <n v="-8"/>
    <s v="Cankaya"/>
    <s v="12-4"/>
    <n v="12"/>
    <n v="4"/>
    <s v="Medal"/>
    <s v="Qualifier QF/SF/Medal"/>
    <s v="Loss"/>
    <n v="0"/>
    <m/>
    <n v="0"/>
    <n v="0"/>
  </r>
  <r>
    <x v="0"/>
    <x v="2"/>
    <x v="15"/>
    <s v="26_NI_G08"/>
    <s v="Cankaya – GC Nikšić 16-6"/>
    <n v="6"/>
    <n v="16"/>
    <n v="-10"/>
    <s v="Cankaya"/>
    <s v="16-6"/>
    <n v="16"/>
    <n v="6"/>
    <s v="Group"/>
    <s v="Qualifier Group Stage"/>
    <s v="Loss"/>
    <n v="0"/>
    <m/>
    <n v="0"/>
    <n v="0"/>
  </r>
  <r>
    <x v="0"/>
    <x v="2"/>
    <x v="15"/>
    <s v="26_NI_G04"/>
    <s v="GC Nikšić – Old Power 5-9"/>
    <n v="5"/>
    <n v="9"/>
    <n v="-4"/>
    <s v="GC Nikšić"/>
    <s v="5-9"/>
    <n v="5"/>
    <n v="9"/>
    <s v="Group"/>
    <s v="Qualifier Group Stage"/>
    <s v="Loss"/>
    <n v="0"/>
    <m/>
    <n v="0"/>
    <n v="0"/>
  </r>
  <r>
    <x v="0"/>
    <x v="2"/>
    <x v="15"/>
    <s v="26_NI_G20"/>
    <s v="Old Power – GC Nikšić 14-4"/>
    <n v="4"/>
    <n v="14"/>
    <n v="-10"/>
    <s v="Old Power"/>
    <s v="14-4"/>
    <n v="14"/>
    <n v="4"/>
    <s v="SF"/>
    <s v="Qualifier QF/SF/Medal"/>
    <s v="Loss"/>
    <n v="0"/>
    <m/>
    <n v="0"/>
    <n v="0"/>
  </r>
  <r>
    <x v="0"/>
    <x v="2"/>
    <x v="15"/>
    <s v="26_NI_G11"/>
    <s v="Club Fenix – GC Nikšić 4-14"/>
    <n v="14"/>
    <n v="4"/>
    <n v="10"/>
    <s v="Club Fenix"/>
    <s v="4-14"/>
    <n v="4"/>
    <n v="14"/>
    <s v="Group"/>
    <s v="Qualifier Group Stage"/>
    <s v="Win"/>
    <n v="3"/>
    <m/>
    <n v="3"/>
    <n v="1.5"/>
  </r>
  <r>
    <x v="0"/>
    <x v="2"/>
    <x v="15"/>
    <s v="26_NI_G16"/>
    <s v="Aisti Sport – GC Nikšić 4-11"/>
    <n v="11"/>
    <n v="4"/>
    <n v="7"/>
    <s v="Aisti Sport"/>
    <s v="4-11"/>
    <n v="4"/>
    <n v="11"/>
    <s v="QF"/>
    <s v="Qualifier QF/SF/Medal"/>
    <s v="Win"/>
    <n v="4.5"/>
    <m/>
    <n v="4.5"/>
    <n v="2.25"/>
  </r>
  <r>
    <x v="1"/>
    <x v="6"/>
    <x v="15"/>
    <s v="25_PG_G07"/>
    <s v="Bruk-Bet Termalica Krakow – GC Nikšić 9-4"/>
    <n v="4"/>
    <n v="9"/>
    <n v="-5"/>
    <s v="Bruk-Bet Termalica Krakow"/>
    <s v="9-4"/>
    <n v="9"/>
    <n v="4"/>
    <s v="Group"/>
    <s v="Qualifier Group Stage"/>
    <s v="Loss"/>
    <n v="0"/>
    <n v="0"/>
    <n v="0"/>
    <m/>
  </r>
  <r>
    <x v="1"/>
    <x v="6"/>
    <x v="15"/>
    <s v="25_PG_G19"/>
    <s v="GC Nikšić – Nilüfer Buges 5-7"/>
    <n v="5"/>
    <n v="7"/>
    <n v="-2"/>
    <s v="GC Nikšić"/>
    <s v="5-7"/>
    <n v="5"/>
    <n v="7"/>
    <s v="Group"/>
    <s v="Qualifier Placement"/>
    <s v="Loss"/>
    <n v="0"/>
    <n v="0"/>
    <n v="0"/>
    <m/>
  </r>
  <r>
    <x v="1"/>
    <x v="6"/>
    <x v="15"/>
    <s v="25_PG_GXX"/>
    <s v="No QF/SF or Medals. 3rd Place = +1.5 Pts to Compensate"/>
    <n v="0"/>
    <n v="0"/>
    <n v="0"/>
    <n v="0"/>
    <n v="0"/>
    <n v="0"/>
    <n v="0"/>
    <s v="Group"/>
    <s v="Special Points"/>
    <s v="N/A"/>
    <n v="1.5"/>
    <n v="1.5"/>
    <n v="0.75"/>
    <m/>
  </r>
  <r>
    <x v="1"/>
    <x v="6"/>
    <x v="15"/>
    <s v="25_PG_G04"/>
    <s v="GC Nikšić – BSI Copenhagen 15-9"/>
    <n v="15"/>
    <n v="9"/>
    <n v="6"/>
    <s v="GC Nikšić"/>
    <s v="15-9"/>
    <n v="15"/>
    <n v="9"/>
    <s v="Group"/>
    <s v="Qualifier Group Stage"/>
    <s v="Win"/>
    <n v="3"/>
    <n v="3"/>
    <n v="1.5"/>
    <m/>
  </r>
  <r>
    <x v="1"/>
    <x v="6"/>
    <x v="15"/>
    <s v="25_PG_G13"/>
    <s v="GC Nikšić – GC Nais 13-7"/>
    <n v="13"/>
    <n v="7"/>
    <n v="6"/>
    <s v="GC Nikšić"/>
    <s v="13-7"/>
    <n v="13"/>
    <n v="7"/>
    <s v="Group"/>
    <s v="Qualifier Group Stage"/>
    <s v="Win"/>
    <n v="3"/>
    <n v="3"/>
    <n v="1.5"/>
    <m/>
  </r>
  <r>
    <x v="1"/>
    <x v="6"/>
    <x v="15"/>
    <s v="25_PG_G10"/>
    <s v="Kleio Thessaloniki – GC Nikšić 3-13"/>
    <n v="13"/>
    <n v="3"/>
    <n v="10"/>
    <s v="Kleio Thessaloniki"/>
    <s v="3-13"/>
    <n v="3"/>
    <n v="13"/>
    <s v="Group"/>
    <s v="Qualifier Group Stage"/>
    <s v="Win"/>
    <n v="3"/>
    <n v="3"/>
    <n v="1.5"/>
    <m/>
  </r>
  <r>
    <x v="1"/>
    <x v="6"/>
    <x v="15"/>
    <s v="25_PG_G16"/>
    <s v="IFAS Stockholm – GC Nikšić 4-7"/>
    <n v="7"/>
    <n v="4"/>
    <n v="3"/>
    <s v="IFAS Stockholm"/>
    <s v="4-7"/>
    <n v="4"/>
    <n v="7"/>
    <s v="Group"/>
    <s v="Qualifier QF/SF/Medal"/>
    <s v="Win"/>
    <n v="4.5"/>
    <n v="4.5"/>
    <n v="2.25"/>
    <m/>
  </r>
  <r>
    <x v="1"/>
    <x v="4"/>
    <x v="16"/>
    <s v="25_RO_G03"/>
    <s v="NGA Lions – GC Perun 17:7"/>
    <n v="7"/>
    <n v="17"/>
    <n v="-10"/>
    <s v="NGA Lions"/>
    <s v="17:7"/>
    <n v="17"/>
    <n v="7"/>
    <s v="Group"/>
    <s v="Qualifier Group Stage"/>
    <s v="Loss"/>
    <n v="0"/>
    <n v="0"/>
    <n v="0"/>
    <m/>
  </r>
  <r>
    <x v="1"/>
    <x v="4"/>
    <x v="16"/>
    <s v="25_RO_G07"/>
    <s v="GC Perun – Näpäjä 2:10"/>
    <n v="2"/>
    <n v="10"/>
    <n v="-8"/>
    <s v="GC Perun"/>
    <s v="2:10"/>
    <n v="2"/>
    <n v="10"/>
    <s v="Group"/>
    <s v="Qualifier Group Stage"/>
    <s v="Loss"/>
    <n v="0"/>
    <n v="0"/>
    <n v="0"/>
    <m/>
  </r>
  <r>
    <x v="1"/>
    <x v="4"/>
    <x v="16"/>
    <s v="25_RO_G12"/>
    <s v="GC Perun – SSG Blista Marburg 1:11"/>
    <n v="1"/>
    <n v="11"/>
    <n v="-10"/>
    <s v="GC Perun"/>
    <s v="1:11"/>
    <n v="1"/>
    <n v="11"/>
    <s v="Group"/>
    <s v="Qualifier Group Stage"/>
    <s v="Loss"/>
    <n v="0"/>
    <n v="0"/>
    <n v="0"/>
    <m/>
  </r>
  <r>
    <x v="1"/>
    <x v="4"/>
    <x v="16"/>
    <s v="25_RO_G13"/>
    <s v="RGC Hansa – GC Perun 10:0"/>
    <n v="0"/>
    <n v="10"/>
    <n v="-10"/>
    <s v="RGC Hansa"/>
    <s v="10:0"/>
    <n v="10"/>
    <n v="0"/>
    <s v="QF"/>
    <s v="Qualifier QF/SF/Medal"/>
    <s v="Loss"/>
    <n v="0"/>
    <n v="0"/>
    <n v="0"/>
    <m/>
  </r>
  <r>
    <x v="1"/>
    <x v="4"/>
    <x v="16"/>
    <s v="25_RO_G17"/>
    <s v="GC Perun – FSBU Gothenburg 7:14"/>
    <n v="7"/>
    <n v="14"/>
    <n v="-7"/>
    <s v="GC Perun"/>
    <s v="7:14"/>
    <n v="7"/>
    <n v="14"/>
    <s v="Placement"/>
    <s v="Qualifier Placement"/>
    <s v="Loss"/>
    <n v="0"/>
    <n v="0"/>
    <n v="0"/>
    <m/>
  </r>
  <r>
    <x v="1"/>
    <x v="4"/>
    <x v="16"/>
    <s v="25_RO_G21"/>
    <s v="GC Perun – ASD Omero Bergamo 3:13"/>
    <n v="3"/>
    <n v="13"/>
    <n v="-10"/>
    <s v="GC Perun"/>
    <s v="3:13"/>
    <n v="3"/>
    <n v="13"/>
    <s v="Placement"/>
    <s v="Qualifier Placement"/>
    <s v="Loss"/>
    <n v="0"/>
    <n v="0"/>
    <n v="0"/>
    <m/>
  </r>
  <r>
    <x v="0"/>
    <x v="0"/>
    <x v="17"/>
    <s v="26_BA_G15"/>
    <s v="Aarhus Goalball – Ha. Vi. 2 Bruxelles 9-1"/>
    <n v="1"/>
    <n v="9"/>
    <n v="-8"/>
    <s v="Aarhus Goalball"/>
    <s v="9-1"/>
    <n v="9"/>
    <n v="1"/>
    <s v="QF"/>
    <s v="Qualifier QF/SF/Medal"/>
    <s v="Loss"/>
    <n v="0"/>
    <m/>
    <n v="0"/>
    <n v="0"/>
  </r>
  <r>
    <x v="0"/>
    <x v="0"/>
    <x v="17"/>
    <s v="26_BA_G02"/>
    <s v="Ha. Vi. 2 Bruxelles – RGC Hansa 7-14"/>
    <n v="7"/>
    <n v="14"/>
    <n v="-7"/>
    <s v="Ha. Vi. 2 Bruxelles"/>
    <s v="7-14"/>
    <n v="7"/>
    <n v="14"/>
    <s v="Group"/>
    <s v="Qualifier Group Stage"/>
    <s v="Loss"/>
    <n v="0"/>
    <m/>
    <n v="0"/>
    <n v="0"/>
  </r>
  <r>
    <x v="0"/>
    <x v="0"/>
    <x v="17"/>
    <s v="26_BA_G09"/>
    <s v="Näpäjä – Ha. Vi. 2 Bruxelles 3-2"/>
    <n v="2"/>
    <n v="3"/>
    <n v="-1"/>
    <s v="Näpäjä"/>
    <s v="3-2"/>
    <n v="3"/>
    <n v="2"/>
    <s v="Group"/>
    <s v="Qualifier Group Stage"/>
    <s v="Loss"/>
    <n v="0"/>
    <m/>
    <n v="0"/>
    <n v="0"/>
  </r>
  <r>
    <x v="0"/>
    <x v="0"/>
    <x v="17"/>
    <s v="26_BA_G06"/>
    <s v="ONCE Catalunya – Ha. Vi. 2 Bruxelles 9-4"/>
    <n v="4"/>
    <n v="9"/>
    <n v="-5"/>
    <s v="ONCE Catalunya"/>
    <s v="9-4"/>
    <n v="9"/>
    <n v="4"/>
    <s v="Group"/>
    <s v="Qualifier Group Stage"/>
    <s v="Loss"/>
    <n v="0"/>
    <m/>
    <n v="0"/>
    <n v="0"/>
  </r>
  <r>
    <x v="0"/>
    <x v="0"/>
    <x v="17"/>
    <s v="26_BA_G22"/>
    <s v="Sporting – Ha. vi. 2 Bruxelles 12-9"/>
    <n v="9"/>
    <n v="12"/>
    <n v="-3"/>
    <s v="Sporting"/>
    <s v="12-9"/>
    <n v="12"/>
    <n v="9"/>
    <s v="Placement"/>
    <s v="Qualifier Placement"/>
    <s v="Loss"/>
    <n v="0"/>
    <m/>
    <n v="0"/>
    <n v="0"/>
  </r>
  <r>
    <x v="0"/>
    <x v="0"/>
    <x v="17"/>
    <s v="26_BA_G19"/>
    <s v="Ha. vi. 2 Bruxelles – Northern Allstars OT 10-9"/>
    <n v="10"/>
    <n v="9"/>
    <n v="1"/>
    <s v="Ha. vi. 2 Bruxelles"/>
    <s v="10-9"/>
    <n v="10"/>
    <n v="9"/>
    <s v="Placement"/>
    <s v="Qualifier Placement in OT or Extra Throws"/>
    <s v="Win"/>
    <n v="2"/>
    <m/>
    <n v="2"/>
    <n v="1"/>
  </r>
  <r>
    <x v="2"/>
    <x v="5"/>
    <x v="17"/>
    <s v="25_MS_G05"/>
    <s v="Ha. Vi. 2 Bruxelles – GC Nikšić 10-15"/>
    <n v="10"/>
    <n v="15"/>
    <n v="-5"/>
    <s v="Ha. Vi. 2 Bruxelles"/>
    <s v="10-15"/>
    <n v="10"/>
    <n v="15"/>
    <s v="Group"/>
    <s v="Finals Group Stage"/>
    <s v="Loss"/>
    <n v="0"/>
    <n v="0"/>
    <n v="0"/>
    <m/>
  </r>
  <r>
    <x v="2"/>
    <x v="5"/>
    <x v="17"/>
    <s v="25_MS_G18"/>
    <s v="Old Power – Ha. Vi. 2 Bruxelles 13-8"/>
    <n v="8"/>
    <n v="13"/>
    <n v="-5"/>
    <s v="Old Power"/>
    <s v="13-8"/>
    <n v="13"/>
    <n v="8"/>
    <s v="Group"/>
    <s v="Finals Group Stage"/>
    <s v="Loss"/>
    <n v="0"/>
    <n v="0"/>
    <n v="0"/>
    <m/>
  </r>
  <r>
    <x v="2"/>
    <x v="5"/>
    <x v="17"/>
    <s v="25_MS_G14"/>
    <s v="Ha. Vi. 2 Bruxelles – FC Porto 10-5"/>
    <n v="10"/>
    <n v="5"/>
    <n v="5"/>
    <s v="Ha. Vi. 2 Bruxelles"/>
    <s v="10-5"/>
    <n v="10"/>
    <n v="5"/>
    <s v="Group"/>
    <s v="Finals Group Stage"/>
    <s v="Win"/>
    <n v="4.5"/>
    <n v="4.5"/>
    <n v="2.25"/>
    <m/>
  </r>
  <r>
    <x v="2"/>
    <x v="5"/>
    <x v="17"/>
    <s v="25_MS_G09"/>
    <s v="Nilüfer Buges – Ha. Vi. 2 Bruxelles 3-6"/>
    <n v="6"/>
    <n v="3"/>
    <n v="3"/>
    <s v="Nilüfer Buges"/>
    <s v="3-6"/>
    <n v="3"/>
    <n v="6"/>
    <s v="Group"/>
    <s v="Finals Group Stage"/>
    <s v="Win"/>
    <n v="4.5"/>
    <n v="4.5"/>
    <n v="2.25"/>
    <m/>
  </r>
  <r>
    <x v="2"/>
    <x v="5"/>
    <x v="17"/>
    <s v="25_MS_G23"/>
    <s v="CSAVH Lyon – Ha. Vi. 2 Bruxelles 3-8"/>
    <n v="8"/>
    <n v="3"/>
    <n v="5"/>
    <s v="CSAVH Lyon"/>
    <s v="3-8"/>
    <n v="3"/>
    <n v="8"/>
    <s v="QF"/>
    <s v="Finals QF/SF/Medal"/>
    <s v="Win"/>
    <n v="6"/>
    <n v="6"/>
    <n v="3"/>
    <m/>
  </r>
  <r>
    <x v="2"/>
    <x v="5"/>
    <x v="17"/>
    <s v="25_MS_G27"/>
    <s v="GC Nikšić – Ha. Vi. 2 Bruxelles 5-10"/>
    <n v="10"/>
    <n v="5"/>
    <n v="5"/>
    <s v="GC Nikšić"/>
    <s v="5-10"/>
    <n v="5"/>
    <n v="10"/>
    <s v="SF"/>
    <s v="Finals QF/SF/Medal"/>
    <s v="Win"/>
    <n v="6"/>
    <n v="6"/>
    <n v="3"/>
    <m/>
  </r>
  <r>
    <x v="2"/>
    <x v="5"/>
    <x v="17"/>
    <s v="25_MS_G33"/>
    <s v="Ha. Vi. 2 Bruxelles – RGC Hansa 11-8"/>
    <n v="11"/>
    <n v="8"/>
    <n v="3"/>
    <s v="Ha. Vi. 2 Bruxelles"/>
    <s v="11-8"/>
    <n v="11"/>
    <n v="8"/>
    <s v="Medal"/>
    <s v="Finals QF/SF/Medal"/>
    <s v="Win"/>
    <n v="6"/>
    <n v="6"/>
    <n v="3"/>
    <m/>
  </r>
  <r>
    <x v="1"/>
    <x v="1"/>
    <x v="17"/>
    <s v="25_PB_G03"/>
    <s v="CSAVH Lyon – Ha. Vi. 2 Bruxelles 6-12"/>
    <n v="12"/>
    <n v="6"/>
    <n v="6"/>
    <s v="CSAVH Lyon"/>
    <s v="6-12"/>
    <n v="6"/>
    <n v="12"/>
    <s v="Group"/>
    <s v="Qualifier Group Stage"/>
    <s v="Win"/>
    <n v="3"/>
    <n v="3"/>
    <n v="1.5"/>
    <m/>
  </r>
  <r>
    <x v="1"/>
    <x v="1"/>
    <x v="17"/>
    <s v="25_PB_G07"/>
    <s v="Ha. Vi. 2 Bruxelles – Aarhus Goalball  15-7"/>
    <n v="15"/>
    <n v="7"/>
    <n v="8"/>
    <s v="Ha. Vi. 2 Bruxelles"/>
    <s v="15-7"/>
    <n v="15"/>
    <n v="7"/>
    <s v="Group"/>
    <s v="Qualifier Group Stage"/>
    <s v="Win"/>
    <n v="3"/>
    <n v="3"/>
    <n v="1.5"/>
    <m/>
  </r>
  <r>
    <x v="1"/>
    <x v="1"/>
    <x v="17"/>
    <s v="25_PB_G12"/>
    <s v="Ha. Vi. 2 Bruxelles – Fen Tigers 11-7"/>
    <n v="11"/>
    <n v="7"/>
    <n v="4"/>
    <s v="Ha. Vi. 2 Bruxelles"/>
    <s v="11-7"/>
    <n v="11"/>
    <n v="7"/>
    <s v="Group"/>
    <s v="Qualifier Group Stage"/>
    <s v="Win"/>
    <n v="3"/>
    <n v="3"/>
    <n v="1.5"/>
    <m/>
  </r>
  <r>
    <x v="1"/>
    <x v="1"/>
    <x v="17"/>
    <s v="25_PB_G20"/>
    <s v="Ha. Vi. 2 Bruxelles – CSAVH Lyon 10-4"/>
    <n v="10"/>
    <n v="4"/>
    <n v="6"/>
    <s v="Ha. Vi. 2 Bruxelles"/>
    <s v="10-4"/>
    <n v="10"/>
    <n v="4"/>
    <s v="SF"/>
    <s v="Qualifier QF/SF/Medal"/>
    <s v="Win"/>
    <n v="4.5"/>
    <n v="4.5"/>
    <n v="2.25"/>
    <m/>
  </r>
  <r>
    <x v="1"/>
    <x v="1"/>
    <x v="17"/>
    <s v="25_PB_G15"/>
    <s v="Ha. Vi. 2 Bruxelles – Füchse Berlin 10-3"/>
    <n v="10"/>
    <n v="3"/>
    <n v="7"/>
    <s v="Ha. Vi. 2 Bruxelles"/>
    <s v="10-3"/>
    <n v="10"/>
    <n v="3"/>
    <s v="QF"/>
    <s v="Qualifier QF/SF/Medal"/>
    <s v="Win"/>
    <n v="4.5"/>
    <n v="4.5"/>
    <n v="2.25"/>
    <m/>
  </r>
  <r>
    <x v="1"/>
    <x v="1"/>
    <x v="17"/>
    <s v="25_PB_G24"/>
    <s v="Old Power – Ha. Vi. 2 Bruxelles 8-10"/>
    <n v="10"/>
    <n v="8"/>
    <n v="2"/>
    <s v="Old Power"/>
    <s v="8-10"/>
    <n v="8"/>
    <n v="10"/>
    <s v="Medal"/>
    <s v="Qualifier QF/SF/Medal"/>
    <s v="Win"/>
    <n v="4.5"/>
    <n v="4.5"/>
    <n v="2.25"/>
    <m/>
  </r>
  <r>
    <x v="1"/>
    <x v="6"/>
    <x v="18"/>
    <s v="25_PG_G02"/>
    <s v="IFAS Stockholm – Kleio Thessaloniki 10-5"/>
    <n v="10"/>
    <n v="5"/>
    <n v="5"/>
    <s v="IFAS Stockholm"/>
    <s v="10-5"/>
    <n v="10"/>
    <n v="5"/>
    <s v="Group"/>
    <s v="Qualifier Group Stage"/>
    <s v="Win"/>
    <n v="3"/>
    <n v="3"/>
    <n v="1.5"/>
    <m/>
  </r>
  <r>
    <x v="1"/>
    <x v="6"/>
    <x v="18"/>
    <s v="25_PG_G05"/>
    <s v="GC Nais – IFAS Stockholm 2-12"/>
    <n v="12"/>
    <n v="2"/>
    <n v="10"/>
    <s v="GC Nais"/>
    <s v="2-12"/>
    <n v="2"/>
    <n v="12"/>
    <s v="Group"/>
    <s v="Qualifier Group Stage"/>
    <s v="Win"/>
    <n v="3"/>
    <n v="3"/>
    <n v="1.5"/>
    <m/>
  </r>
  <r>
    <x v="1"/>
    <x v="6"/>
    <x v="18"/>
    <s v="25_PG_G08"/>
    <s v="IFAS Stockholm – BSI Copenhagen 2-5"/>
    <n v="2"/>
    <n v="5"/>
    <n v="-3"/>
    <s v="IFAS Stockholm"/>
    <s v="2-5"/>
    <n v="2"/>
    <n v="5"/>
    <s v="Group"/>
    <s v="Qualifier Group Stage"/>
    <s v="Loss"/>
    <n v="0"/>
    <n v="0"/>
    <n v="0"/>
    <m/>
  </r>
  <r>
    <x v="1"/>
    <x v="6"/>
    <x v="18"/>
    <s v="25_PG_G12"/>
    <s v="Nilüfer Buges – IFAS Stockholm 3-7"/>
    <n v="7"/>
    <n v="3"/>
    <n v="4"/>
    <s v="Nilüfer Buges"/>
    <s v="3-7"/>
    <n v="3"/>
    <n v="7"/>
    <s v="Group"/>
    <s v="Qualifier Group Stage"/>
    <s v="Win"/>
    <n v="3"/>
    <n v="3"/>
    <n v="1.5"/>
    <m/>
  </r>
  <r>
    <x v="1"/>
    <x v="6"/>
    <x v="18"/>
    <s v="25_PG_G16"/>
    <s v="IFAS Stockholm – GC Nikšić 4-7"/>
    <n v="4"/>
    <n v="7"/>
    <n v="-3"/>
    <s v="IFAS Stockholm"/>
    <s v="4-7"/>
    <n v="4"/>
    <n v="7"/>
    <s v="Group"/>
    <s v="Qualifier QF/SF/Medal"/>
    <s v="Loss"/>
    <n v="0"/>
    <n v="0"/>
    <n v="0"/>
    <m/>
  </r>
  <r>
    <x v="1"/>
    <x v="6"/>
    <x v="18"/>
    <s v="25_PG_G18"/>
    <s v="Bruk-Bet Termalica Krakow – IFAS Stockholm 12-9"/>
    <n v="9"/>
    <n v="12"/>
    <n v="-3"/>
    <s v="Bruk-Bet Termalica Krakow"/>
    <s v="12-9"/>
    <n v="12"/>
    <n v="9"/>
    <s v="Group"/>
    <s v="Qualifier Group Stage"/>
    <s v="Loss"/>
    <n v="0"/>
    <n v="0"/>
    <n v="0"/>
    <m/>
  </r>
  <r>
    <x v="1"/>
    <x v="4"/>
    <x v="19"/>
    <s v="25_RO_G01"/>
    <s v="Invasport Ukraine – RGC Hansa 1:11"/>
    <n v="1"/>
    <n v="11"/>
    <n v="-10"/>
    <s v="Invasport Ukraine"/>
    <s v="1:11"/>
    <n v="1"/>
    <n v="11"/>
    <s v="Group"/>
    <s v="Qualifier Group Stage"/>
    <s v="Loss"/>
    <n v="0"/>
    <n v="0"/>
    <n v="0"/>
    <m/>
  </r>
  <r>
    <x v="1"/>
    <x v="4"/>
    <x v="19"/>
    <s v="25_RO_G06"/>
    <s v="FSBU Gothenburg – Invasport Ukraine 1:8"/>
    <n v="8"/>
    <n v="1"/>
    <n v="7"/>
    <s v="FSBU Gothenburg"/>
    <s v="1:8"/>
    <n v="1"/>
    <n v="8"/>
    <s v="Group"/>
    <s v="Qualifier Group Stage"/>
    <s v="Win"/>
    <n v="3"/>
    <n v="3"/>
    <n v="1.5"/>
    <m/>
  </r>
  <r>
    <x v="1"/>
    <x v="4"/>
    <x v="19"/>
    <s v="25_RO_G09"/>
    <s v="Invasport Ukraine – ASD Omero Bergamo 12:5"/>
    <n v="12"/>
    <n v="5"/>
    <n v="7"/>
    <s v="Invasport Ukraine"/>
    <s v="12:5"/>
    <n v="12"/>
    <n v="5"/>
    <s v="Group"/>
    <s v="Qualifier Group Stage"/>
    <s v="Win"/>
    <n v="3"/>
    <n v="3"/>
    <n v="1.5"/>
    <m/>
  </r>
  <r>
    <x v="1"/>
    <x v="4"/>
    <x v="19"/>
    <s v="25_RO_G16"/>
    <s v="Invasport Ukraine – Näpäjä 2:4"/>
    <n v="2"/>
    <n v="4"/>
    <n v="-2"/>
    <s v="Invasport Ukraine"/>
    <s v="2:4"/>
    <n v="2"/>
    <n v="4"/>
    <s v="QF"/>
    <s v="Qualifier QF/SF/Medal"/>
    <s v="Loss"/>
    <n v="0"/>
    <n v="0"/>
    <n v="0"/>
    <m/>
  </r>
  <r>
    <x v="1"/>
    <x v="4"/>
    <x v="19"/>
    <s v="25_RO_G19"/>
    <s v="ASD Omero Bergamo – Invasport Ukraine 9:11"/>
    <n v="11"/>
    <n v="9"/>
    <n v="2"/>
    <s v="ASD Omero Bergamo"/>
    <s v="9:11"/>
    <n v="9"/>
    <n v="11"/>
    <s v="Placement"/>
    <s v="Qualifier Placement"/>
    <s v="Win"/>
    <n v="3"/>
    <n v="3"/>
    <n v="1.5"/>
    <m/>
  </r>
  <r>
    <x v="1"/>
    <x v="4"/>
    <x v="19"/>
    <s v="25_RO_G22"/>
    <s v="FSBU Gothenburg – Invasport Ukraine 3:2"/>
    <n v="2"/>
    <n v="3"/>
    <n v="-1"/>
    <s v="FSBU Gothenburg"/>
    <s v="3:2"/>
    <n v="3"/>
    <n v="2"/>
    <s v="Placement"/>
    <s v="Qualifier Placement"/>
    <s v="Loss"/>
    <n v="0"/>
    <n v="0"/>
    <n v="0"/>
    <m/>
  </r>
  <r>
    <x v="0"/>
    <x v="2"/>
    <x v="20"/>
    <s v="26_NI_G02"/>
    <s v="Kleio Thessaloniki – GC Nais 7-7"/>
    <n v="7"/>
    <n v="7"/>
    <n v="0"/>
    <s v="Kleio Thessaloniki"/>
    <s v="7-7"/>
    <n v="7"/>
    <n v="7"/>
    <s v="Group"/>
    <s v="Qualifier Group Stage"/>
    <s v="Draw"/>
    <n v="1"/>
    <m/>
    <n v="1"/>
    <n v="0.5"/>
  </r>
  <r>
    <x v="0"/>
    <x v="2"/>
    <x v="20"/>
    <s v="26_NI_G06"/>
    <s v="Aisti Sport – Kleio Thessaloniki 11-4"/>
    <n v="4"/>
    <n v="11"/>
    <n v="-7"/>
    <s v="Aisti Sport"/>
    <s v="11-4"/>
    <n v="11"/>
    <n v="4"/>
    <s v="Group"/>
    <s v="Qualifier Group Stage"/>
    <s v="Loss"/>
    <n v="0"/>
    <m/>
    <n v="0"/>
    <n v="0"/>
  </r>
  <r>
    <x v="0"/>
    <x v="2"/>
    <x v="20"/>
    <s v="26_NI_G09"/>
    <s v="Nilüfer Buges – Kleio Thessaloniki 11-6"/>
    <n v="6"/>
    <n v="11"/>
    <n v="-5"/>
    <s v="Nilüfer Buges"/>
    <s v="11-6"/>
    <n v="11"/>
    <n v="6"/>
    <s v="Group"/>
    <s v="Qualifier Group Stage"/>
    <s v="Loss"/>
    <n v="0"/>
    <m/>
    <n v="0"/>
    <n v="0"/>
  </r>
  <r>
    <x v="0"/>
    <x v="2"/>
    <x v="20"/>
    <s v="26_NI_G14"/>
    <s v="Cankaya – Kleio Thessaloniki 10-0"/>
    <n v="0"/>
    <n v="10"/>
    <n v="-10"/>
    <s v="Cankaya"/>
    <s v="10-0"/>
    <n v="10"/>
    <n v="0"/>
    <s v="QF"/>
    <s v="Qualifier QF/SF/Medal"/>
    <s v="Loss"/>
    <n v="0"/>
    <m/>
    <n v="0"/>
    <n v="0"/>
  </r>
  <r>
    <x v="0"/>
    <x v="2"/>
    <x v="20"/>
    <s v="26_NI_G17"/>
    <s v="Club Fenix – Kleio Thessaloniki 2:11"/>
    <n v="11"/>
    <n v="2"/>
    <n v="9"/>
    <s v="Club Fenix"/>
    <s v="2:11"/>
    <n v="2"/>
    <n v="11"/>
    <s v="Placement"/>
    <s v="Qualifier Placement"/>
    <s v="Win"/>
    <n v="3"/>
    <m/>
    <n v="3"/>
    <n v="1.5"/>
  </r>
  <r>
    <x v="0"/>
    <x v="2"/>
    <x v="20"/>
    <s v="26_NI_G22"/>
    <s v="Kleio Thessaloniki – Aisti Sport 0-6"/>
    <n v="0"/>
    <n v="6"/>
    <n v="-6"/>
    <s v="Kleio Thessaloniki"/>
    <s v="0-6"/>
    <n v="0"/>
    <n v="6"/>
    <s v="Placement"/>
    <s v="Qualifier Placement"/>
    <s v="Loss"/>
    <n v="0"/>
    <m/>
    <n v="0"/>
    <n v="0"/>
  </r>
  <r>
    <x v="1"/>
    <x v="6"/>
    <x v="20"/>
    <s v="25_PG_G02"/>
    <s v="IFAS Stockholm – Kleio Thessaloniki 10-5"/>
    <n v="5"/>
    <n v="10"/>
    <n v="-5"/>
    <s v="IFAS Stockholm"/>
    <s v="10-5"/>
    <n v="10"/>
    <n v="5"/>
    <s v="Group"/>
    <s v="Qualifier Group Stage"/>
    <s v="Loss"/>
    <n v="0"/>
    <n v="0"/>
    <n v="0"/>
    <m/>
  </r>
  <r>
    <x v="1"/>
    <x v="6"/>
    <x v="20"/>
    <s v="25_PG_G06"/>
    <s v="Kleio Thessaloniki – Nilüfer Buges 1-11"/>
    <n v="1"/>
    <n v="11"/>
    <n v="-10"/>
    <s v="Kleio Thessaloniki"/>
    <s v="1-11"/>
    <n v="1"/>
    <n v="11"/>
    <s v="Group"/>
    <s v="Qualifier Group Stage"/>
    <s v="Loss"/>
    <n v="0"/>
    <n v="0"/>
    <n v="0"/>
    <m/>
  </r>
  <r>
    <x v="1"/>
    <x v="6"/>
    <x v="20"/>
    <s v="25_PG_G10"/>
    <s v="Kleio Thessaloniki – GC Nikšić 3-13"/>
    <n v="3"/>
    <n v="13"/>
    <n v="-10"/>
    <s v="Kleio Thessaloniki"/>
    <s v="3-13"/>
    <n v="3"/>
    <n v="13"/>
    <s v="Group"/>
    <s v="Qualifier Group Stage"/>
    <s v="Loss"/>
    <n v="0"/>
    <n v="0"/>
    <n v="0"/>
    <m/>
  </r>
  <r>
    <x v="1"/>
    <x v="6"/>
    <x v="20"/>
    <s v="25_PG_G14"/>
    <s v="Bruk-Bet Termalica Krakow – Kleio Thessaloniki 15-9"/>
    <n v="9"/>
    <n v="15"/>
    <n v="-6"/>
    <s v="Bruk-Bet Termalica Krakow"/>
    <s v="15-9"/>
    <n v="15"/>
    <n v="9"/>
    <s v="Group"/>
    <s v="Qualifier Group Stage"/>
    <s v="Loss"/>
    <n v="0"/>
    <n v="0"/>
    <n v="0"/>
    <m/>
  </r>
  <r>
    <x v="1"/>
    <x v="6"/>
    <x v="20"/>
    <s v="25_PG_G17"/>
    <s v="Kleio Thessaloniki – GC Nais 11-1"/>
    <n v="11"/>
    <n v="1"/>
    <n v="10"/>
    <s v="Kleio Thessaloniki"/>
    <s v="11-1"/>
    <n v="11"/>
    <n v="1"/>
    <s v="Group"/>
    <s v="Qualifier Group Stage"/>
    <s v="Win"/>
    <n v="3"/>
    <n v="3"/>
    <n v="1.5"/>
    <m/>
  </r>
  <r>
    <x v="1"/>
    <x v="6"/>
    <x v="20"/>
    <s v="25_PG_G20"/>
    <s v="BSI Copenhagen – Kleio Thessaloniki 13-3"/>
    <n v="3"/>
    <n v="13"/>
    <n v="-10"/>
    <s v="BSI Copenhagen"/>
    <s v="13-3"/>
    <n v="13"/>
    <n v="3"/>
    <s v="Group"/>
    <s v="Qualifier Group Stage"/>
    <s v="Loss"/>
    <n v="0"/>
    <n v="0"/>
    <n v="0"/>
    <m/>
  </r>
  <r>
    <x v="0"/>
    <x v="0"/>
    <x v="21"/>
    <s v="26_BA_G01"/>
    <s v="Näpäjä – ONCE Catalunya 0-10"/>
    <n v="0"/>
    <n v="10"/>
    <n v="-10"/>
    <s v="Näpäjä"/>
    <s v="0-10"/>
    <n v="0"/>
    <n v="10"/>
    <s v="Group"/>
    <s v="Qualifier Group Stage"/>
    <s v="Loss"/>
    <n v="0"/>
    <m/>
    <n v="0"/>
    <n v="0"/>
  </r>
  <r>
    <x v="0"/>
    <x v="0"/>
    <x v="21"/>
    <s v="26_BA_G05"/>
    <s v="RGC Hansa – Näpäjä 6-3"/>
    <n v="3"/>
    <n v="6"/>
    <n v="-3"/>
    <s v="RGC Hansa"/>
    <s v="6-3"/>
    <n v="6"/>
    <n v="3"/>
    <s v="Group"/>
    <s v="Qualifier Group Stage"/>
    <s v="Loss"/>
    <n v="0"/>
    <m/>
    <n v="0"/>
    <n v="0"/>
  </r>
  <r>
    <x v="0"/>
    <x v="0"/>
    <x v="21"/>
    <s v="26_BA_G14"/>
    <s v="BRUK-BET Termalica Krakow – Näpäjä 10-5"/>
    <n v="5"/>
    <n v="10"/>
    <n v="-5"/>
    <s v="BRUK-BET Termalica Krakow"/>
    <s v="10-5"/>
    <n v="10"/>
    <n v="5"/>
    <s v="QF"/>
    <s v="Qualifier QF/SF/Medal"/>
    <s v="Loss"/>
    <n v="0"/>
    <m/>
    <n v="0"/>
    <n v="0"/>
  </r>
  <r>
    <x v="0"/>
    <x v="0"/>
    <x v="21"/>
    <s v="26_BA_G17"/>
    <s v="Sporting CP – Näpäjä 16-7"/>
    <n v="7"/>
    <n v="16"/>
    <n v="-9"/>
    <s v="Sporting CP"/>
    <s v="16-7"/>
    <n v="16"/>
    <n v="7"/>
    <s v="Placement"/>
    <s v="Qualifier Placement"/>
    <s v="Loss"/>
    <n v="0"/>
    <m/>
    <n v="0"/>
    <n v="0"/>
  </r>
  <r>
    <x v="0"/>
    <x v="0"/>
    <x v="21"/>
    <s v="26_BA_G21"/>
    <s v="Näpäjä – Northern Allstars 1-3"/>
    <n v="1"/>
    <n v="3"/>
    <n v="-2"/>
    <s v="Näpäjä"/>
    <s v="1-3"/>
    <n v="1"/>
    <n v="3"/>
    <s v="Placement"/>
    <s v="Qualifier Placement"/>
    <s v="Loss"/>
    <n v="0"/>
    <m/>
    <n v="0"/>
    <n v="0"/>
  </r>
  <r>
    <x v="0"/>
    <x v="0"/>
    <x v="21"/>
    <s v="26_BA_G09"/>
    <s v="Näpäjä – Ha. Vi. 2 Bruxelles 3-2"/>
    <n v="3"/>
    <n v="2"/>
    <n v="1"/>
    <s v="Näpäjä"/>
    <s v="3-2"/>
    <n v="3"/>
    <n v="2"/>
    <s v="Group"/>
    <s v="Qualifier Group Stage"/>
    <s v="Win"/>
    <n v="3"/>
    <m/>
    <n v="3"/>
    <n v="1.5"/>
  </r>
  <r>
    <x v="2"/>
    <x v="5"/>
    <x v="21"/>
    <s v="25_MS_G06"/>
    <s v="Näpäjä – BRUK-BET Termalica Krakow 7-10"/>
    <n v="7"/>
    <n v="10"/>
    <n v="-3"/>
    <s v="Näpäjä"/>
    <s v="7-10"/>
    <n v="7"/>
    <n v="10"/>
    <s v="Group"/>
    <s v="Finals Group Stage"/>
    <s v="Loss"/>
    <n v="0"/>
    <n v="0"/>
    <n v="0"/>
    <m/>
  </r>
  <r>
    <x v="2"/>
    <x v="5"/>
    <x v="21"/>
    <s v="25_MS_G10"/>
    <s v="RGC Hansa – Näpäjä 9-7"/>
    <n v="7"/>
    <n v="9"/>
    <n v="-2"/>
    <s v="RGC Hansa"/>
    <s v="9-7"/>
    <n v="9"/>
    <n v="7"/>
    <s v="Group"/>
    <s v="Finals Group Stage"/>
    <s v="Loss"/>
    <n v="0"/>
    <n v="0"/>
    <n v="0"/>
    <m/>
  </r>
  <r>
    <x v="2"/>
    <x v="5"/>
    <x v="21"/>
    <s v="25_MS_G17"/>
    <s v="CSAVH Lyon – Näpäjä 5-2"/>
    <n v="2"/>
    <n v="5"/>
    <n v="-3"/>
    <s v="CSAVH Lyon"/>
    <s v="5-2"/>
    <n v="5"/>
    <n v="2"/>
    <s v="Group"/>
    <s v="Finals Group Stage"/>
    <s v="Loss"/>
    <n v="0"/>
    <n v="0"/>
    <n v="0"/>
    <m/>
  </r>
  <r>
    <x v="2"/>
    <x v="5"/>
    <x v="21"/>
    <s v="25_MS_G21"/>
    <s v="FC Porto – Näpäjä 8-7"/>
    <n v="7"/>
    <n v="8"/>
    <n v="-1"/>
    <s v="FC Porto"/>
    <s v="8-7"/>
    <n v="8"/>
    <n v="7"/>
    <s v="Placement"/>
    <s v="Finals Placement"/>
    <s v="Loss"/>
    <n v="0"/>
    <n v="0"/>
    <n v="0"/>
    <m/>
  </r>
  <r>
    <x v="2"/>
    <x v="5"/>
    <x v="21"/>
    <s v="25_MS_G13"/>
    <s v="Näpäjä – NGA Lions 5-5"/>
    <n v="5"/>
    <n v="5"/>
    <n v="0"/>
    <s v="Näpäjä"/>
    <s v="5-5"/>
    <n v="5"/>
    <n v="5"/>
    <s v="Group"/>
    <s v="Finals Group Stage"/>
    <s v="Draw"/>
    <n v="1.5"/>
    <n v="1.5"/>
    <n v="0.75"/>
    <m/>
  </r>
  <r>
    <x v="1"/>
    <x v="4"/>
    <x v="21"/>
    <s v="25_RO_G11"/>
    <s v="NGA Lions – Näpäjä 8:3"/>
    <n v="3"/>
    <n v="8"/>
    <n v="-5"/>
    <s v="NGA Lions"/>
    <s v="8:3"/>
    <n v="8"/>
    <n v="3"/>
    <s v="Group"/>
    <s v="Qualifier Group Stage"/>
    <s v="Loss"/>
    <n v="0"/>
    <n v="0"/>
    <n v="0"/>
    <m/>
  </r>
  <r>
    <x v="1"/>
    <x v="4"/>
    <x v="21"/>
    <s v="25_RO_G04"/>
    <s v="Näpäjä – SSG Blista Marburg 6:6"/>
    <n v="6"/>
    <n v="6"/>
    <n v="0"/>
    <s v="Näpäjä"/>
    <s v="6:6"/>
    <n v="6"/>
    <n v="6"/>
    <s v="Group"/>
    <s v="Qualifier Group Stage"/>
    <s v="Draw"/>
    <n v="1"/>
    <n v="1"/>
    <n v="0.5"/>
    <m/>
  </r>
  <r>
    <x v="1"/>
    <x v="4"/>
    <x v="21"/>
    <s v="25_RO_G24"/>
    <s v="RGC Hansa – Näpäjä 4:4 After over time 5:4"/>
    <n v="4"/>
    <n v="5"/>
    <n v="-1"/>
    <s v="RGC Hansa"/>
    <s v="5:4"/>
    <n v="5"/>
    <n v="4"/>
    <s v="Medal"/>
    <s v="Qualifier QF/SF/Medal in OT or Extra Throws"/>
    <s v="Loss"/>
    <n v="1.5"/>
    <n v="1.5"/>
    <n v="0.75"/>
    <m/>
  </r>
  <r>
    <x v="1"/>
    <x v="4"/>
    <x v="21"/>
    <s v="25_RO_G07"/>
    <s v="GC Perun – Näpäjä 2:10"/>
    <n v="10"/>
    <n v="2"/>
    <n v="8"/>
    <s v="GC Perun"/>
    <s v="2:10"/>
    <n v="2"/>
    <n v="10"/>
    <s v="Group"/>
    <s v="Qualifier Group Stage"/>
    <s v="Win"/>
    <n v="3"/>
    <n v="3"/>
    <n v="1.5"/>
    <m/>
  </r>
  <r>
    <x v="1"/>
    <x v="4"/>
    <x v="21"/>
    <s v="25_RO_G16"/>
    <s v="Invasport Ukraine – Näpäjä 2:4"/>
    <n v="4"/>
    <n v="2"/>
    <n v="2"/>
    <s v="Invasport Ukraine"/>
    <s v="2:4"/>
    <n v="2"/>
    <n v="4"/>
    <s v="QF"/>
    <s v="Qualifier QF/SF/Medal"/>
    <s v="Win"/>
    <n v="4.5"/>
    <n v="4.5"/>
    <n v="2.25"/>
    <m/>
  </r>
  <r>
    <x v="1"/>
    <x v="4"/>
    <x v="21"/>
    <s v="25_RO_G20"/>
    <s v="NGA Lions – Näpäjä 2:4"/>
    <n v="4"/>
    <n v="2"/>
    <n v="2"/>
    <s v="NGA Lions"/>
    <s v="2:4"/>
    <n v="2"/>
    <n v="4"/>
    <s v="SF"/>
    <s v="Qualifier QF/SF/Medal"/>
    <s v="Win"/>
    <n v="4.5"/>
    <n v="4.5"/>
    <n v="2.25"/>
    <m/>
  </r>
  <r>
    <x v="2"/>
    <x v="5"/>
    <x v="22"/>
    <s v="25_MS_G08"/>
    <s v="NGA Lions – CSAVH Lyon 12-7"/>
    <n v="12"/>
    <n v="7"/>
    <n v="5"/>
    <s v="NGA Lions"/>
    <s v="12-7"/>
    <n v="12"/>
    <n v="7"/>
    <s v="Group"/>
    <s v="Finals Group Stage"/>
    <s v="Win"/>
    <n v="4.5"/>
    <n v="4.5"/>
    <n v="2.25"/>
    <m/>
  </r>
  <r>
    <x v="2"/>
    <x v="5"/>
    <x v="22"/>
    <s v="25_MS_G30"/>
    <s v="NGA Lions – Old Power 12-4"/>
    <n v="12"/>
    <n v="4"/>
    <n v="8"/>
    <s v="NGA Lions"/>
    <s v="12-4"/>
    <n v="12"/>
    <n v="4"/>
    <s v="Placement"/>
    <s v="Finals Placement"/>
    <s v="Win"/>
    <n v="4.5"/>
    <n v="4.5"/>
    <n v="2.25"/>
    <m/>
  </r>
  <r>
    <x v="2"/>
    <x v="5"/>
    <x v="22"/>
    <s v="25_MS_G13"/>
    <s v="Näpäjä – NGA Lions 5-5"/>
    <n v="5"/>
    <n v="5"/>
    <n v="0"/>
    <s v="Näpäjä"/>
    <s v="5-5"/>
    <n v="5"/>
    <n v="5"/>
    <s v="Group"/>
    <s v="Finals Group Stage"/>
    <s v="Draw"/>
    <n v="1.5"/>
    <n v="1.5"/>
    <n v="0.75"/>
    <m/>
  </r>
  <r>
    <x v="2"/>
    <x v="5"/>
    <x v="22"/>
    <s v="25_MS_G19"/>
    <s v="NGA Lions – RGC Hansa 5-5"/>
    <n v="5"/>
    <n v="5"/>
    <n v="0"/>
    <s v="NGA Lions"/>
    <s v="5-5"/>
    <n v="5"/>
    <n v="5"/>
    <s v="Group"/>
    <s v="Finals Group Stage"/>
    <s v="Draw"/>
    <n v="1.5"/>
    <n v="1.5"/>
    <n v="0.75"/>
    <m/>
  </r>
  <r>
    <x v="2"/>
    <x v="5"/>
    <x v="22"/>
    <s v="25_MS_G02"/>
    <s v="BRUK-BET Termalica Krakow – NGA Lions 8-5"/>
    <n v="5"/>
    <n v="8"/>
    <n v="-3"/>
    <s v="BRUK-BET Termalica Krakow"/>
    <s v="8-5"/>
    <n v="8"/>
    <n v="5"/>
    <s v="Group"/>
    <s v="Finals Group Stage"/>
    <s v="Loss"/>
    <n v="0"/>
    <n v="0"/>
    <n v="0"/>
    <m/>
  </r>
  <r>
    <x v="2"/>
    <x v="5"/>
    <x v="22"/>
    <s v="25_MS_G22"/>
    <s v="GC Nikšić – NGA Lions 11-1"/>
    <n v="1"/>
    <n v="11"/>
    <n v="-10"/>
    <s v="GC Nikšić"/>
    <s v="11-1"/>
    <n v="11"/>
    <n v="1"/>
    <s v="QF"/>
    <s v="Finals QF/SF/Medal"/>
    <s v="Loss"/>
    <n v="0"/>
    <n v="0"/>
    <n v="0"/>
    <m/>
  </r>
  <r>
    <x v="2"/>
    <x v="5"/>
    <x v="22"/>
    <s v="25_MS_G26"/>
    <s v="NGA Lions – CSAVH Lyon 5-6"/>
    <n v="5"/>
    <n v="6"/>
    <n v="-1"/>
    <s v="NGA Lions"/>
    <s v="5-6"/>
    <n v="5"/>
    <n v="6"/>
    <s v="Placement"/>
    <s v="Finals Placement"/>
    <s v="Loss"/>
    <n v="0"/>
    <n v="0"/>
    <n v="0"/>
    <m/>
  </r>
  <r>
    <x v="1"/>
    <x v="4"/>
    <x v="22"/>
    <s v="25_RO_G23"/>
    <s v="SSG Blista Marburg – NGA Lions 5:15"/>
    <n v="15"/>
    <n v="5"/>
    <n v="10"/>
    <s v="SSG Blista Marburg"/>
    <s v="5:15"/>
    <n v="5"/>
    <n v="15"/>
    <s v="Medal"/>
    <s v="Qualifier QF/SF/Medal"/>
    <s v="Win"/>
    <n v="4.5"/>
    <n v="4.5"/>
    <n v="2.25"/>
    <m/>
  </r>
  <r>
    <x v="1"/>
    <x v="4"/>
    <x v="22"/>
    <s v="25_RO_G03"/>
    <s v="NGA Lions – GC Perun 17:7"/>
    <n v="17"/>
    <n v="7"/>
    <n v="10"/>
    <s v="NGA Lions"/>
    <s v="17:7"/>
    <n v="17"/>
    <n v="7"/>
    <s v="Group"/>
    <s v="Qualifier Group Stage"/>
    <s v="Win"/>
    <n v="3"/>
    <n v="3"/>
    <n v="1.5"/>
    <m/>
  </r>
  <r>
    <x v="1"/>
    <x v="4"/>
    <x v="22"/>
    <s v="25_RO_G08"/>
    <s v="SSG Blista Marburg – NGA Lions 5:8"/>
    <n v="8"/>
    <n v="5"/>
    <n v="3"/>
    <s v="SSG Blista Marburg"/>
    <s v="5:8"/>
    <n v="5"/>
    <n v="8"/>
    <s v="Group"/>
    <s v="Qualifier Group Stage"/>
    <s v="Win"/>
    <n v="3"/>
    <n v="3"/>
    <n v="1.5"/>
    <m/>
  </r>
  <r>
    <x v="1"/>
    <x v="4"/>
    <x v="22"/>
    <s v="25_RO_G11"/>
    <s v="NGA Lions – Näpäjä 8:3"/>
    <n v="8"/>
    <n v="3"/>
    <n v="5"/>
    <s v="NGA Lions"/>
    <s v="8:3"/>
    <n v="8"/>
    <n v="3"/>
    <s v="Group"/>
    <s v="Qualifier Group Stage"/>
    <s v="Win"/>
    <n v="3"/>
    <n v="3"/>
    <n v="1.5"/>
    <m/>
  </r>
  <r>
    <x v="1"/>
    <x v="4"/>
    <x v="22"/>
    <s v="25_RO_G15"/>
    <s v="NGA Lions – ASD Omero Bergamo 4:4 After over time 5:4"/>
    <n v="5"/>
    <n v="4"/>
    <n v="1"/>
    <s v="NGA Lions"/>
    <s v="5:4"/>
    <n v="5"/>
    <n v="4"/>
    <s v="QF"/>
    <s v="Qualifier QF/SF/Medal in OT or Extra Throws"/>
    <s v="Win"/>
    <n v="3"/>
    <n v="3"/>
    <n v="1.5"/>
    <m/>
  </r>
  <r>
    <x v="1"/>
    <x v="4"/>
    <x v="22"/>
    <s v="25_RO_G20"/>
    <s v="NGA Lions – Näpäjä 2:4"/>
    <n v="2"/>
    <n v="4"/>
    <n v="-2"/>
    <s v="NGA Lions"/>
    <s v="2:4"/>
    <n v="2"/>
    <n v="4"/>
    <s v="SF"/>
    <s v="Qualifier QF/SF/Medal"/>
    <s v="Loss"/>
    <n v="0"/>
    <n v="0"/>
    <n v="0"/>
    <m/>
  </r>
  <r>
    <x v="2"/>
    <x v="5"/>
    <x v="23"/>
    <s v="25_MS_G20"/>
    <s v="FC Porto – Nilüfer Buges 7-11"/>
    <n v="11"/>
    <n v="7"/>
    <n v="4"/>
    <s v="FC Porto"/>
    <s v="7-11"/>
    <n v="7"/>
    <n v="11"/>
    <s v="Group"/>
    <s v="Finals Group Stage"/>
    <s v="Win"/>
    <n v="4.5"/>
    <n v="4.5"/>
    <n v="2.25"/>
    <m/>
  </r>
  <r>
    <x v="2"/>
    <x v="5"/>
    <x v="23"/>
    <s v="25_MS_G28"/>
    <s v="Nilüfer Buges – Old Power 10-6"/>
    <n v="10"/>
    <n v="6"/>
    <n v="4"/>
    <s v="Nilüfer Buges"/>
    <s v="10-6"/>
    <n v="10"/>
    <n v="6"/>
    <s v="Placement"/>
    <s v="Finals Placement"/>
    <s v="Win"/>
    <n v="4.5"/>
    <n v="4.5"/>
    <n v="2.25"/>
    <m/>
  </r>
  <r>
    <x v="2"/>
    <x v="5"/>
    <x v="23"/>
    <s v="25_MS_G03"/>
    <s v="Old Power – Nilüfer Buges 8-7"/>
    <n v="7"/>
    <n v="8"/>
    <n v="-1"/>
    <s v="Old Power"/>
    <s v="8-7"/>
    <n v="8"/>
    <n v="7"/>
    <s v="Group"/>
    <s v="Finals Group Stage"/>
    <s v="Loss"/>
    <n v="0"/>
    <n v="0"/>
    <n v="0"/>
    <m/>
  </r>
  <r>
    <x v="2"/>
    <x v="5"/>
    <x v="23"/>
    <s v="25_MS_G09"/>
    <s v="Nilüfer Buges – Ha. Vi. 2 Bruxelles 3-6"/>
    <n v="3"/>
    <n v="6"/>
    <n v="-3"/>
    <s v="Nilüfer Buges"/>
    <s v="3-6"/>
    <n v="3"/>
    <n v="6"/>
    <s v="Group"/>
    <s v="Finals Group Stage"/>
    <s v="Loss"/>
    <n v="0"/>
    <n v="0"/>
    <n v="0"/>
    <m/>
  </r>
  <r>
    <x v="2"/>
    <x v="5"/>
    <x v="23"/>
    <s v="25_MS_G16"/>
    <s v="Nilüfer Buges – GC Nikšić 6-9"/>
    <n v="6"/>
    <n v="9"/>
    <n v="-3"/>
    <s v="Nilüfer Buges"/>
    <s v="6-9"/>
    <n v="6"/>
    <n v="9"/>
    <s v="Group"/>
    <s v="Finals Group Stage"/>
    <s v="Loss"/>
    <n v="0"/>
    <n v="0"/>
    <n v="0"/>
    <m/>
  </r>
  <r>
    <x v="2"/>
    <x v="5"/>
    <x v="23"/>
    <s v="25_MS_G24"/>
    <s v="RGC Hansa – Nilüfer Buges 5-2"/>
    <n v="2"/>
    <n v="5"/>
    <n v="-3"/>
    <s v="RGC Hansa"/>
    <s v="5-2"/>
    <n v="5"/>
    <n v="2"/>
    <s v="QF"/>
    <s v="Finals QF/SF/Medal"/>
    <s v="Loss"/>
    <n v="0"/>
    <n v="0"/>
    <n v="0"/>
    <m/>
  </r>
  <r>
    <x v="2"/>
    <x v="5"/>
    <x v="23"/>
    <s v="25_MS_G31"/>
    <s v="CSAVH Lyon – Nilüfer Buges 8-7"/>
    <n v="7"/>
    <n v="8"/>
    <n v="-1"/>
    <s v="CSAVH Lyon"/>
    <s v="8-7"/>
    <n v="8"/>
    <n v="7"/>
    <s v="Placement"/>
    <s v="Finals Placement"/>
    <s v="Loss"/>
    <n v="0"/>
    <n v="0"/>
    <n v="0"/>
    <m/>
  </r>
  <r>
    <x v="0"/>
    <x v="2"/>
    <x v="23"/>
    <s v="26_NI_G13"/>
    <s v="Nilüfer Buges – Club Fenix 12-2"/>
    <n v="12"/>
    <n v="2"/>
    <n v="10"/>
    <s v="Nilüfer Buges"/>
    <s v="12-2"/>
    <n v="12"/>
    <n v="2"/>
    <s v="QF"/>
    <s v="Qualifier QF/SF/Medal"/>
    <s v="Win"/>
    <n v="4.5"/>
    <m/>
    <n v="4.5"/>
    <n v="2.25"/>
  </r>
  <r>
    <x v="0"/>
    <x v="2"/>
    <x v="23"/>
    <s v="26_NI_G18"/>
    <s v="Nilüfer Buges – Cankaya 13-4"/>
    <n v="13"/>
    <n v="4"/>
    <n v="9"/>
    <s v="Nilüfer Buges"/>
    <s v="13-4"/>
    <n v="13"/>
    <n v="4"/>
    <s v="SF"/>
    <s v="Qualifier QF/SF/Medal"/>
    <s v="Win"/>
    <n v="4.5"/>
    <m/>
    <n v="4.5"/>
    <n v="2.25"/>
  </r>
  <r>
    <x v="0"/>
    <x v="2"/>
    <x v="23"/>
    <s v="26_NI_G01"/>
    <s v="Nilüfer Buges – Aisti Sport 8-2"/>
    <n v="8"/>
    <n v="2"/>
    <n v="6"/>
    <s v="Nilüfer Buges"/>
    <s v="8-2"/>
    <n v="8"/>
    <n v="2"/>
    <s v="Group"/>
    <s v="Qualifier Group Stage"/>
    <s v="Win"/>
    <n v="3"/>
    <m/>
    <n v="3"/>
    <n v="1.5"/>
  </r>
  <r>
    <x v="0"/>
    <x v="2"/>
    <x v="23"/>
    <s v="26_NI_G05"/>
    <s v="GC Nais – Nilüfer Buges 3-13"/>
    <n v="13"/>
    <n v="3"/>
    <n v="10"/>
    <s v="GC Nais"/>
    <s v="3-13"/>
    <n v="3"/>
    <n v="13"/>
    <s v="Group"/>
    <s v="Qualifier Group Stage"/>
    <s v="Win"/>
    <n v="3"/>
    <m/>
    <n v="3"/>
    <n v="1.5"/>
  </r>
  <r>
    <x v="0"/>
    <x v="2"/>
    <x v="23"/>
    <s v="26_NI_G09"/>
    <s v="Nilüfer Buges – Kleio Thessaloniki 11-6"/>
    <n v="11"/>
    <n v="6"/>
    <n v="5"/>
    <s v="Nilüfer Buges"/>
    <s v="11-6"/>
    <n v="11"/>
    <n v="6"/>
    <s v="Group"/>
    <s v="Qualifier Group Stage"/>
    <s v="Win"/>
    <n v="3"/>
    <m/>
    <n v="3"/>
    <n v="1.5"/>
  </r>
  <r>
    <x v="0"/>
    <x v="2"/>
    <x v="23"/>
    <s v="26_NI_G24"/>
    <s v="Nilüfer Buges – Old Power 2-5"/>
    <n v="2"/>
    <n v="5"/>
    <n v="-3"/>
    <s v="Nilüfer Buges"/>
    <s v="2-5"/>
    <n v="2"/>
    <n v="5"/>
    <s v="Medal"/>
    <s v="Qualifier QF/SF/Medal"/>
    <s v="Loss"/>
    <n v="0"/>
    <m/>
    <n v="0"/>
    <n v="0"/>
  </r>
  <r>
    <x v="1"/>
    <x v="6"/>
    <x v="23"/>
    <s v="25_PG_G15"/>
    <s v="Nilüfer Buges – BSI Copenhagen 8-4"/>
    <n v="8"/>
    <n v="4"/>
    <n v="4"/>
    <s v="Nilüfer Buges"/>
    <s v="8-4"/>
    <n v="8"/>
    <n v="4"/>
    <s v="Group"/>
    <s v="Qualifier Group Stage"/>
    <s v="Win"/>
    <n v="3"/>
    <n v="3"/>
    <n v="1.5"/>
    <m/>
  </r>
  <r>
    <x v="1"/>
    <x v="6"/>
    <x v="23"/>
    <s v="25_PG_G06"/>
    <s v="Kleio Thessaloniki – Nilüfer Buges 1-11"/>
    <n v="11"/>
    <n v="1"/>
    <n v="10"/>
    <s v="Kleio Thessaloniki"/>
    <s v="1-11"/>
    <n v="1"/>
    <n v="11"/>
    <s v="Group"/>
    <s v="Qualifier Group Stage"/>
    <s v="Win"/>
    <n v="3"/>
    <n v="3"/>
    <n v="1.5"/>
    <m/>
  </r>
  <r>
    <x v="1"/>
    <x v="6"/>
    <x v="23"/>
    <s v="25_PG_G09"/>
    <s v="GC Nais – Nilüfer Buges 7-13"/>
    <n v="13"/>
    <n v="7"/>
    <n v="6"/>
    <s v="GC Nais"/>
    <s v="7-13"/>
    <n v="7"/>
    <n v="13"/>
    <s v="Group"/>
    <s v="Qualifier Group Stage"/>
    <s v="Win"/>
    <n v="3"/>
    <n v="3"/>
    <n v="1.5"/>
    <m/>
  </r>
  <r>
    <x v="1"/>
    <x v="6"/>
    <x v="23"/>
    <s v="25_PG_G19"/>
    <s v="GC Nikšić – Nilüfer Buges 5-7"/>
    <n v="7"/>
    <n v="5"/>
    <n v="2"/>
    <s v="GC Nikšić"/>
    <s v="5-7"/>
    <n v="5"/>
    <n v="7"/>
    <s v="Group"/>
    <s v="Qualifier Placement"/>
    <s v="Win"/>
    <n v="3"/>
    <n v="3"/>
    <n v="1.5"/>
    <m/>
  </r>
  <r>
    <x v="1"/>
    <x v="6"/>
    <x v="23"/>
    <s v="25_PG_GXX"/>
    <s v="No QF/SF or Medals. 3rd Place = +1.5 Pts to Compensate"/>
    <n v="0"/>
    <n v="0"/>
    <n v="0"/>
    <s v="N/A"/>
    <n v="0"/>
    <n v="0"/>
    <n v="0"/>
    <s v="Group"/>
    <s v="Special Points"/>
    <s v="N/A"/>
    <n v="1.5"/>
    <n v="1.5"/>
    <n v="0.75"/>
    <m/>
  </r>
  <r>
    <x v="1"/>
    <x v="6"/>
    <x v="23"/>
    <s v="25_PG_G12"/>
    <s v="Nilüfer Buges – IFAS Stockholm 3-7"/>
    <n v="3"/>
    <n v="7"/>
    <n v="-4"/>
    <s v="Nilüfer Buges"/>
    <s v="3-7"/>
    <n v="3"/>
    <n v="7"/>
    <s v="Group"/>
    <s v="Qualifier Group Stage"/>
    <s v="Loss"/>
    <n v="0"/>
    <n v="0"/>
    <n v="0"/>
    <m/>
  </r>
  <r>
    <x v="1"/>
    <x v="6"/>
    <x v="23"/>
    <s v="25_PG_G03"/>
    <s v="Nilüfer Buges – Bruk-Bet Termalica Krakow 5-12"/>
    <n v="5"/>
    <n v="12"/>
    <n v="-7"/>
    <s v="Nilüfer Buges"/>
    <s v="5-12"/>
    <n v="5"/>
    <n v="12"/>
    <s v="Group"/>
    <s v="Qualifier Group Stage"/>
    <s v="Loss"/>
    <n v="0"/>
    <n v="0"/>
    <n v="0"/>
    <m/>
  </r>
  <r>
    <x v="0"/>
    <x v="0"/>
    <x v="24"/>
    <s v="26_BA_G03"/>
    <s v="Northern Allstars – Sporting CP 6-5"/>
    <n v="6"/>
    <n v="5"/>
    <n v="1"/>
    <s v="Northern Allstars"/>
    <s v="6-5"/>
    <n v="6"/>
    <n v="5"/>
    <s v="Group"/>
    <s v="Qualifier Group Stage"/>
    <s v="Win"/>
    <n v="3"/>
    <m/>
    <n v="3"/>
    <n v="1.5"/>
  </r>
  <r>
    <x v="0"/>
    <x v="0"/>
    <x v="24"/>
    <s v="26_BA_G21"/>
    <s v="Näpäjä – Northern Allstars 1-3"/>
    <n v="3"/>
    <n v="1"/>
    <n v="2"/>
    <s v="Näpäjä"/>
    <s v="1-3"/>
    <n v="1"/>
    <n v="3"/>
    <s v="Placement"/>
    <s v="Qualifier Placement"/>
    <s v="Win"/>
    <n v="3"/>
    <m/>
    <n v="3"/>
    <n v="1.5"/>
  </r>
  <r>
    <x v="0"/>
    <x v="0"/>
    <x v="24"/>
    <s v="26_BA_G19"/>
    <s v="Ha. vi. 2 Bruxelles – Northern Allstars 10-9 (after extra throws), 6-6"/>
    <n v="6"/>
    <n v="6"/>
    <n v="0"/>
    <s v="Ha. vi. 2 Bruxelles"/>
    <s v="6-6"/>
    <n v="6"/>
    <n v="6"/>
    <s v="Placement"/>
    <s v="Qualifier Placement in OT or Extra Throws"/>
    <s v="Loss"/>
    <n v="1"/>
    <m/>
    <n v="1"/>
    <n v="0.5"/>
  </r>
  <r>
    <x v="0"/>
    <x v="0"/>
    <x v="24"/>
    <s v="26_BA_G07"/>
    <s v="BRUK-BET Termalica Krakow – Northern Allstars 15-9"/>
    <n v="9"/>
    <n v="15"/>
    <n v="-6"/>
    <s v="BRUK-BET Termalica Krakow"/>
    <s v="15-9"/>
    <n v="15"/>
    <n v="9"/>
    <s v="Group"/>
    <s v="Qualifier Group Stage"/>
    <s v="Loss"/>
    <n v="0"/>
    <m/>
    <n v="0"/>
    <n v="0"/>
  </r>
  <r>
    <x v="0"/>
    <x v="0"/>
    <x v="24"/>
    <s v="26_BA_G11"/>
    <s v="Northern Allstars – Aarhus Goalball 4-5"/>
    <n v="4"/>
    <n v="5"/>
    <n v="-1"/>
    <s v="Northern Allstars"/>
    <s v="4-5"/>
    <n v="4"/>
    <n v="5"/>
    <s v="Group"/>
    <s v="Qualifier Group Stage"/>
    <s v="Loss"/>
    <n v="0"/>
    <m/>
    <n v="0"/>
    <n v="0"/>
  </r>
  <r>
    <x v="0"/>
    <x v="0"/>
    <x v="24"/>
    <s v="26_BA_G16"/>
    <s v="ONCE Catalunya – Northern Allstars 9-8"/>
    <n v="8"/>
    <n v="9"/>
    <n v="-1"/>
    <s v="ONCE Catalunya"/>
    <s v="9-8"/>
    <n v="9"/>
    <n v="8"/>
    <s v="QF"/>
    <s v="Qualifier QF/SF/Medal"/>
    <s v="Loss"/>
    <n v="0"/>
    <m/>
    <n v="0"/>
    <n v="0"/>
  </r>
  <r>
    <x v="1"/>
    <x v="1"/>
    <x v="24"/>
    <s v="25_PB_G01"/>
    <s v="Northern Allstars – Füchse Berlin 14-4"/>
    <n v="14"/>
    <n v="4"/>
    <n v="10"/>
    <s v="Northern Allstars"/>
    <s v="14-4"/>
    <n v="14"/>
    <n v="4"/>
    <s v="Group"/>
    <s v="Qualifier Group Stage"/>
    <s v="Win"/>
    <n v="3"/>
    <n v="3"/>
    <n v="1.5"/>
    <m/>
  </r>
  <r>
    <x v="1"/>
    <x v="1"/>
    <x v="24"/>
    <s v="25_PB_G21"/>
    <s v="Northern Allstars – Füchse Berlin 11-1"/>
    <n v="11"/>
    <n v="1"/>
    <n v="10"/>
    <s v="Northern Allstars"/>
    <s v="11-1"/>
    <n v="11"/>
    <n v="1"/>
    <s v="Placement"/>
    <s v="Qualifier Placement"/>
    <s v="Win"/>
    <n v="3"/>
    <n v="3"/>
    <n v="1.5"/>
    <m/>
  </r>
  <r>
    <x v="1"/>
    <x v="1"/>
    <x v="24"/>
    <s v="25_PB_G06"/>
    <s v="Sporting CP – Northern Allstars 14-7"/>
    <n v="7"/>
    <n v="14"/>
    <n v="-7"/>
    <s v="Sporting CP"/>
    <s v="14-7"/>
    <n v="14"/>
    <n v="7"/>
    <s v="Group"/>
    <s v="Qualifier Group Stage"/>
    <s v="Loss"/>
    <n v="0"/>
    <n v="0"/>
    <n v="0"/>
    <m/>
  </r>
  <r>
    <x v="1"/>
    <x v="1"/>
    <x v="24"/>
    <s v="25_PB_G09"/>
    <s v="Northern Allstars – Old Power 5:13"/>
    <n v="5"/>
    <n v="13"/>
    <n v="-8"/>
    <s v="Northern Allstars"/>
    <s v="5:13"/>
    <n v="5"/>
    <n v="13"/>
    <s v="Group"/>
    <s v="Qualifier Group Stage"/>
    <s v="Loss"/>
    <n v="0"/>
    <n v="0"/>
    <n v="0"/>
    <m/>
  </r>
  <r>
    <x v="1"/>
    <x v="1"/>
    <x v="24"/>
    <s v="25_PB_G14"/>
    <s v="Fen Tigers – Northern Allstars 6-3"/>
    <n v="3"/>
    <n v="6"/>
    <n v="-3"/>
    <s v="Fen Tigers"/>
    <s v="6-3"/>
    <n v="6"/>
    <n v="3"/>
    <s v="QF"/>
    <s v="Qualifier QF/SF/Medal"/>
    <s v="Loss"/>
    <n v="0"/>
    <n v="0"/>
    <n v="0"/>
    <m/>
  </r>
  <r>
    <x v="1"/>
    <x v="1"/>
    <x v="24"/>
    <s v="25_PB_G17"/>
    <s v="Aarhus Goalball – Northern Allstars 10-2"/>
    <n v="2"/>
    <n v="10"/>
    <n v="-8"/>
    <s v="Aarhus Goalball"/>
    <s v="10-2"/>
    <n v="10"/>
    <n v="2"/>
    <s v="Placement"/>
    <s v="Qualifier Placement"/>
    <s v="Loss"/>
    <n v="0"/>
    <n v="0"/>
    <n v="0"/>
    <m/>
  </r>
  <r>
    <x v="2"/>
    <x v="5"/>
    <x v="25"/>
    <s v="25_MS_G03"/>
    <s v="Old Power – Nilüfer Buges 8-7"/>
    <n v="8"/>
    <n v="7"/>
    <n v="1"/>
    <s v="Old Power"/>
    <s v="8-7"/>
    <n v="8"/>
    <n v="7"/>
    <s v="Group"/>
    <s v="Finals Group Stage"/>
    <s v="Win"/>
    <n v="4.5"/>
    <n v="4.5"/>
    <n v="2.25"/>
    <m/>
  </r>
  <r>
    <x v="2"/>
    <x v="5"/>
    <x v="25"/>
    <s v="25_MS_G07"/>
    <s v="FC Porto – Old Power 6-11"/>
    <n v="11"/>
    <n v="6"/>
    <n v="5"/>
    <s v="FC Porto"/>
    <s v="6-11"/>
    <n v="6"/>
    <n v="11"/>
    <s v="Group"/>
    <s v="Finals Group Stage"/>
    <s v="Win"/>
    <n v="4.5"/>
    <n v="4.5"/>
    <n v="2.25"/>
    <m/>
  </r>
  <r>
    <x v="2"/>
    <x v="5"/>
    <x v="25"/>
    <s v="25_MS_G18"/>
    <s v="Old Power – Ha. Vi. 2 Bruxelles 13-8"/>
    <n v="13"/>
    <n v="8"/>
    <n v="5"/>
    <s v="Old Power"/>
    <s v="13-8"/>
    <n v="13"/>
    <n v="8"/>
    <s v="Group"/>
    <s v="Finals Group Stage"/>
    <s v="Win"/>
    <n v="4.5"/>
    <n v="4.5"/>
    <n v="2.25"/>
    <m/>
  </r>
  <r>
    <x v="2"/>
    <x v="5"/>
    <x v="25"/>
    <s v="25_MS_G12"/>
    <s v="GC Nikšić – Old Power 11-10"/>
    <n v="10"/>
    <n v="11"/>
    <n v="-1"/>
    <s v="GC Nikšić"/>
    <s v="11-10"/>
    <n v="11"/>
    <n v="10"/>
    <s v="Group"/>
    <s v="Finals Group Stage"/>
    <s v="Loss"/>
    <n v="0"/>
    <n v="0"/>
    <n v="0"/>
    <m/>
  </r>
  <r>
    <x v="2"/>
    <x v="5"/>
    <x v="25"/>
    <s v="25_MS_G25"/>
    <s v="Old Power – BRUK-BET Termalica Krakow 8-13"/>
    <n v="8"/>
    <n v="13"/>
    <n v="-5"/>
    <s v="Old Power"/>
    <s v="8-13"/>
    <n v="8"/>
    <n v="13"/>
    <s v="QF"/>
    <s v="Finals QF/SF/Medal"/>
    <s v="Loss"/>
    <n v="0"/>
    <n v="0"/>
    <n v="0"/>
    <m/>
  </r>
  <r>
    <x v="2"/>
    <x v="5"/>
    <x v="25"/>
    <s v="25_MS_G28"/>
    <s v="Nilüfer Buges – Old Power 10-6"/>
    <n v="6"/>
    <n v="10"/>
    <n v="-4"/>
    <s v="Nilüfer Buges"/>
    <s v="10-6"/>
    <n v="10"/>
    <n v="6"/>
    <s v="Placement"/>
    <s v="Finals Placement"/>
    <s v="Loss"/>
    <n v="0"/>
    <n v="0"/>
    <n v="0"/>
    <m/>
  </r>
  <r>
    <x v="2"/>
    <x v="5"/>
    <x v="25"/>
    <s v="25_MS_G30"/>
    <s v="NGA Lions – Old Power 12-4"/>
    <n v="4"/>
    <n v="12"/>
    <n v="-8"/>
    <s v="NGA Lions"/>
    <s v="12-4"/>
    <n v="12"/>
    <n v="4"/>
    <s v="Placement"/>
    <s v="Finals Placement"/>
    <s v="Loss"/>
    <n v="0"/>
    <n v="0"/>
    <n v="0"/>
    <m/>
  </r>
  <r>
    <x v="0"/>
    <x v="2"/>
    <x v="25"/>
    <s v="26_NI_G15"/>
    <s v="Old Power – GC Nais 14-5"/>
    <n v="14"/>
    <n v="5"/>
    <n v="9"/>
    <s v="Old Power"/>
    <s v="14-5"/>
    <n v="14"/>
    <n v="5"/>
    <s v="QF"/>
    <s v="Qualifier QF/SF/Medal"/>
    <s v="Win"/>
    <n v="4.5"/>
    <m/>
    <n v="4.5"/>
    <n v="2.25"/>
  </r>
  <r>
    <x v="0"/>
    <x v="2"/>
    <x v="25"/>
    <s v="26_NI_G20"/>
    <s v="Old Power – GC Nikšić 14-4"/>
    <n v="14"/>
    <n v="4"/>
    <n v="10"/>
    <s v="Old Power"/>
    <s v="14-4"/>
    <n v="14"/>
    <n v="4"/>
    <s v="SF"/>
    <s v="Qualifier QF/SF/Medal"/>
    <s v="Win"/>
    <n v="4.5"/>
    <m/>
    <n v="4.5"/>
    <n v="2.25"/>
  </r>
  <r>
    <x v="0"/>
    <x v="2"/>
    <x v="25"/>
    <s v="26_NI_G24"/>
    <s v="Nilüfer Buges – Old Power 2-5"/>
    <n v="5"/>
    <n v="2"/>
    <n v="3"/>
    <s v="Nilüfer Buges"/>
    <s v="2-5"/>
    <n v="2"/>
    <n v="5"/>
    <s v="Medal"/>
    <s v="Qualifier QF/SF/Medal"/>
    <s v="Win"/>
    <n v="4.5"/>
    <m/>
    <n v="4.5"/>
    <n v="2.25"/>
  </r>
  <r>
    <x v="0"/>
    <x v="2"/>
    <x v="25"/>
    <s v="26_NI_G04"/>
    <s v="GC Nikšić – Old Power 5-9"/>
    <n v="9"/>
    <n v="5"/>
    <n v="4"/>
    <s v="GC Nikšić"/>
    <s v="5-9"/>
    <n v="5"/>
    <n v="9"/>
    <s v="Group"/>
    <s v="Qualifier Group Stage"/>
    <s v="Win"/>
    <n v="3"/>
    <m/>
    <n v="3"/>
    <n v="1.5"/>
  </r>
  <r>
    <x v="0"/>
    <x v="2"/>
    <x v="25"/>
    <s v="26_NI_G07"/>
    <s v="Old Power – Club Fenix 14-4"/>
    <n v="14"/>
    <n v="4"/>
    <n v="10"/>
    <s v="Old Power"/>
    <s v="14-4"/>
    <n v="14"/>
    <n v="4"/>
    <s v="Group"/>
    <s v="Qualifier Group Stage"/>
    <s v="Win"/>
    <n v="3"/>
    <m/>
    <n v="3"/>
    <n v="1.5"/>
  </r>
  <r>
    <x v="0"/>
    <x v="2"/>
    <x v="25"/>
    <s v="26_NI_G12"/>
    <s v="Old Power – Cankaya 11-6"/>
    <n v="11"/>
    <n v="6"/>
    <n v="5"/>
    <s v="Old Power"/>
    <s v="11-6"/>
    <n v="11"/>
    <n v="6"/>
    <s v="Group"/>
    <s v="Qualifier Group Stage"/>
    <s v="Win"/>
    <n v="3"/>
    <m/>
    <n v="3"/>
    <n v="1.5"/>
  </r>
  <r>
    <x v="1"/>
    <x v="1"/>
    <x v="25"/>
    <s v="25_PB_G13"/>
    <s v="Old Power – Aarhus Goalball 10-4"/>
    <n v="10"/>
    <n v="4"/>
    <n v="6"/>
    <s v="Old Power"/>
    <s v="10-4"/>
    <n v="10"/>
    <n v="4"/>
    <s v="QF"/>
    <s v="Qualifier QF/SF/Medal"/>
    <s v="Win"/>
    <n v="4.5"/>
    <n v="4.5"/>
    <n v="2.25"/>
    <m/>
  </r>
  <r>
    <x v="1"/>
    <x v="1"/>
    <x v="25"/>
    <s v="25_PB_G18"/>
    <s v="Old Power – Fen Tigers 8-5"/>
    <n v="8"/>
    <n v="5"/>
    <n v="3"/>
    <s v="Old Power"/>
    <s v="8-5"/>
    <n v="8"/>
    <n v="5"/>
    <s v="SF"/>
    <s v="Qualifier QF/SF/Medal"/>
    <s v="Win"/>
    <n v="4.5"/>
    <n v="4.5"/>
    <n v="2.25"/>
    <m/>
  </r>
  <r>
    <x v="1"/>
    <x v="1"/>
    <x v="25"/>
    <s v="25_PB_G02"/>
    <s v="Old Power – Sporting CP 11-9"/>
    <n v="11"/>
    <n v="9"/>
    <n v="2"/>
    <s v="Old Power"/>
    <s v="11-9"/>
    <n v="11"/>
    <n v="9"/>
    <s v="Group"/>
    <s v="Qualifier Group Stage"/>
    <s v="Win"/>
    <n v="3"/>
    <n v="3"/>
    <n v="1.5"/>
    <m/>
  </r>
  <r>
    <x v="1"/>
    <x v="1"/>
    <x v="25"/>
    <s v="25_PB_G05"/>
    <s v="Füchse Berlin – Old Power 6-13"/>
    <n v="13"/>
    <n v="6"/>
    <n v="7"/>
    <s v="Füchse Berlin"/>
    <s v="6-13"/>
    <n v="6"/>
    <n v="13"/>
    <s v="Group"/>
    <s v="Qualifier Group Stage"/>
    <s v="Win"/>
    <n v="3"/>
    <n v="3"/>
    <n v="1.5"/>
    <m/>
  </r>
  <r>
    <x v="1"/>
    <x v="1"/>
    <x v="25"/>
    <s v="25_PB_G09"/>
    <s v="Northen Allstars – Old Power 5-13"/>
    <n v="13"/>
    <n v="5"/>
    <n v="8"/>
    <s v="Northen Allstars"/>
    <s v="5-13"/>
    <n v="5"/>
    <n v="13"/>
    <s v="Group"/>
    <s v="Qualifier Group Stage"/>
    <s v="Win"/>
    <n v="3"/>
    <n v="3"/>
    <n v="1.5"/>
    <m/>
  </r>
  <r>
    <x v="1"/>
    <x v="1"/>
    <x v="25"/>
    <s v="25_PB_G24"/>
    <s v="Old Power – Ha. Vi. 2 Bruxelles 8-10"/>
    <n v="8"/>
    <n v="10"/>
    <n v="-2"/>
    <s v="Old Power"/>
    <s v="8-10"/>
    <n v="8"/>
    <n v="10"/>
    <s v="Medal"/>
    <s v="Qualifier QF/SF/Medal"/>
    <s v="Loss"/>
    <n v="0"/>
    <n v="0"/>
    <n v="0"/>
    <m/>
  </r>
  <r>
    <x v="0"/>
    <x v="0"/>
    <x v="26"/>
    <s v="26_BA_G01"/>
    <s v="Näpäjä – ONCE Catalunya 0-10"/>
    <n v="10"/>
    <n v="0"/>
    <n v="10"/>
    <s v="Näpäjä"/>
    <s v="0-10"/>
    <n v="0"/>
    <n v="10"/>
    <s v="Group"/>
    <s v="Qualifier Group Stage"/>
    <s v="Win"/>
    <n v="3"/>
    <m/>
    <n v="3"/>
    <n v="1.5"/>
  </r>
  <r>
    <x v="0"/>
    <x v="0"/>
    <x v="26"/>
    <s v="26_BA_G06"/>
    <s v="ONCE Catalunya – Ha. Vi. 2 Bruxelles 9-4"/>
    <n v="9"/>
    <n v="4"/>
    <n v="5"/>
    <s v="ONCE Catalunya"/>
    <s v="9-4"/>
    <n v="9"/>
    <n v="4"/>
    <s v="Group"/>
    <s v="Qualifier Group Stage"/>
    <s v="Win"/>
    <n v="3"/>
    <m/>
    <n v="3"/>
    <n v="1.5"/>
  </r>
  <r>
    <x v="0"/>
    <x v="0"/>
    <x v="26"/>
    <s v="26_BA_G10"/>
    <s v="RGC Hansa – ONCE Catalunya 10-3"/>
    <n v="3"/>
    <n v="10"/>
    <n v="-7"/>
    <s v="RGC Hansa"/>
    <s v="10-3"/>
    <n v="10"/>
    <n v="3"/>
    <s v="Group"/>
    <s v="Qualifier Group Stage"/>
    <s v="Loss"/>
    <n v="0"/>
    <m/>
    <n v="0"/>
    <n v="0"/>
  </r>
  <r>
    <x v="0"/>
    <x v="0"/>
    <x v="26"/>
    <s v="26_BA_G16"/>
    <s v="ONCE Catalunya – Northern Allstars 9-8"/>
    <n v="9"/>
    <n v="8"/>
    <n v="1"/>
    <s v="ONCE Catalunya"/>
    <s v="9-8"/>
    <n v="9"/>
    <n v="8"/>
    <s v="QF"/>
    <s v="Qualifier QF/SF/Medal"/>
    <s v="Win"/>
    <n v="4.5"/>
    <m/>
    <n v="4.5"/>
    <n v="2.25"/>
  </r>
  <r>
    <x v="0"/>
    <x v="0"/>
    <x v="26"/>
    <s v="26_BA_G20"/>
    <s v="Aarhus Goalball – ONCE Catalunya 8-5"/>
    <n v="5"/>
    <n v="8"/>
    <n v="-3"/>
    <s v="Aarhus Goalball"/>
    <s v="8-5"/>
    <n v="8"/>
    <n v="5"/>
    <s v="SF"/>
    <s v="Qualifier QF/SF/Medal"/>
    <s v="Loss"/>
    <n v="0"/>
    <m/>
    <n v="0"/>
    <n v="0"/>
  </r>
  <r>
    <x v="0"/>
    <x v="0"/>
    <x v="26"/>
    <s v="26_BA_G23"/>
    <s v="RGC Hansa – ONCE Catalunya 11-1"/>
    <n v="1"/>
    <n v="11"/>
    <n v="-10"/>
    <s v="RGC Hansa"/>
    <s v="11-1"/>
    <n v="11"/>
    <n v="1"/>
    <s v="Medal"/>
    <s v="Qualifier QF/SF/Medal"/>
    <s v="Loss"/>
    <n v="0"/>
    <m/>
    <n v="0"/>
    <n v="0"/>
  </r>
  <r>
    <x v="0"/>
    <x v="0"/>
    <x v="27"/>
    <s v="26_BA_G13"/>
    <s v="RGC Hansa – Sporting CP 11-4"/>
    <n v="11"/>
    <n v="4"/>
    <n v="7"/>
    <s v="RGC Hansa"/>
    <s v="11-4"/>
    <n v="11"/>
    <n v="4"/>
    <s v="QF"/>
    <s v="Qualifier QF/SF/Medal"/>
    <s v="Win"/>
    <n v="4.5"/>
    <m/>
    <n v="4.5"/>
    <n v="2.25"/>
  </r>
  <r>
    <x v="0"/>
    <x v="0"/>
    <x v="27"/>
    <s v="26_BA_G23"/>
    <s v="RGC Hansa – ONCE Catalunya 11-1"/>
    <n v="11"/>
    <n v="1"/>
    <n v="10"/>
    <s v="RGC Hansa"/>
    <s v="11-1"/>
    <n v="11"/>
    <n v="1"/>
    <s v="Medal"/>
    <s v="Qualifier QF/SF/Medal"/>
    <s v="Win"/>
    <n v="4.5"/>
    <m/>
    <n v="4.5"/>
    <n v="2.25"/>
  </r>
  <r>
    <x v="0"/>
    <x v="0"/>
    <x v="27"/>
    <s v="26_BA_G02"/>
    <s v="Ha. Vi. 2 Bruxelles – RGC Hansa 7-14"/>
    <n v="14"/>
    <n v="7"/>
    <n v="7"/>
    <s v="Ha. Vi. 2 Bruxelles"/>
    <s v="7-14"/>
    <n v="7"/>
    <n v="14"/>
    <s v="Group"/>
    <s v="Qualifier Group Stage"/>
    <s v="Win"/>
    <n v="3"/>
    <m/>
    <n v="3"/>
    <n v="1.5"/>
  </r>
  <r>
    <x v="0"/>
    <x v="0"/>
    <x v="27"/>
    <s v="26_BA_G05"/>
    <s v="RGC Hansa – Näpäjä 6-3"/>
    <n v="6"/>
    <n v="3"/>
    <n v="3"/>
    <s v="RGC Hansa"/>
    <s v="6-3"/>
    <n v="6"/>
    <n v="3"/>
    <s v="Group"/>
    <s v="Qualifier Group Stage"/>
    <s v="Win"/>
    <n v="3"/>
    <m/>
    <n v="3"/>
    <n v="1.5"/>
  </r>
  <r>
    <x v="0"/>
    <x v="0"/>
    <x v="27"/>
    <s v="26_BA_G10"/>
    <s v="RGC Hansa – ONCE Catalunya 10-3"/>
    <n v="10"/>
    <n v="3"/>
    <n v="7"/>
    <s v="RGC Hansa"/>
    <s v="10-3"/>
    <n v="10"/>
    <n v="3"/>
    <s v="Group"/>
    <s v="Qualifier Group Stage"/>
    <s v="Win"/>
    <n v="3"/>
    <m/>
    <n v="3"/>
    <n v="1.5"/>
  </r>
  <r>
    <x v="0"/>
    <x v="0"/>
    <x v="27"/>
    <s v="26_BA_G18"/>
    <s v="RGC Hansa – BRUK-BET Termalica Krakow 6-8"/>
    <n v="6"/>
    <n v="8"/>
    <n v="-2"/>
    <s v="RGC Hansa"/>
    <s v="6-8"/>
    <n v="6"/>
    <n v="8"/>
    <s v="SF"/>
    <s v="Qualifier QF/SF/Medal"/>
    <s v="Loss"/>
    <n v="0"/>
    <m/>
    <n v="0"/>
    <n v="0"/>
  </r>
  <r>
    <x v="2"/>
    <x v="5"/>
    <x v="27"/>
    <s v="25_MS_G10"/>
    <s v="RGC Hansa – Näpäjä 9-7"/>
    <n v="9"/>
    <n v="7"/>
    <n v="2"/>
    <s v="RGC Hansa"/>
    <s v="9-7"/>
    <n v="9"/>
    <n v="7"/>
    <s v="Group"/>
    <s v="Finals Group Stage"/>
    <s v="Win"/>
    <n v="4.5"/>
    <n v="4.5"/>
    <n v="2.25"/>
    <m/>
  </r>
  <r>
    <x v="2"/>
    <x v="5"/>
    <x v="27"/>
    <s v="25_MS_G15"/>
    <s v="RGC Hansa – BRUK-BET Termalica Krakow 10-7"/>
    <n v="10"/>
    <n v="7"/>
    <n v="3"/>
    <s v="RGC Hansa"/>
    <s v="10-7"/>
    <n v="10"/>
    <n v="7"/>
    <s v="Group"/>
    <s v="Finals Group Stage"/>
    <s v="Win"/>
    <n v="4.5"/>
    <n v="4.5"/>
    <n v="2.25"/>
    <m/>
  </r>
  <r>
    <x v="2"/>
    <x v="5"/>
    <x v="27"/>
    <s v="25_MS_G04"/>
    <s v="CSAVH Lyon – RGC Hansa 14-14"/>
    <n v="14"/>
    <n v="14"/>
    <n v="0"/>
    <s v="CSAVH Lyon"/>
    <s v="14-14"/>
    <n v="14"/>
    <n v="14"/>
    <s v="Group"/>
    <s v="Finals Group Stage"/>
    <s v="Draw"/>
    <n v="1.5"/>
    <n v="1.5"/>
    <n v="0.75"/>
    <m/>
  </r>
  <r>
    <x v="2"/>
    <x v="5"/>
    <x v="27"/>
    <s v="25_MS_G19"/>
    <s v="NGA Lions – RGC Hansa 5-5"/>
    <n v="5"/>
    <n v="5"/>
    <n v="0"/>
    <s v="NGA Lions"/>
    <s v="5-5"/>
    <n v="5"/>
    <n v="5"/>
    <s v="Group"/>
    <s v="Finals Group Stage"/>
    <s v="Draw"/>
    <n v="1.5"/>
    <n v="1.5"/>
    <n v="0.75"/>
    <m/>
  </r>
  <r>
    <x v="2"/>
    <x v="5"/>
    <x v="27"/>
    <s v="25_MS_G24"/>
    <s v="RGC Hansa – Nilüfer Buges 5-2"/>
    <n v="5"/>
    <n v="2"/>
    <n v="3"/>
    <s v="RGC Hansa"/>
    <s v="5-2"/>
    <n v="5"/>
    <n v="2"/>
    <s v="QF"/>
    <s v="Finals QF/SF/Medal"/>
    <s v="Win"/>
    <n v="6"/>
    <n v="6"/>
    <n v="3"/>
    <m/>
  </r>
  <r>
    <x v="2"/>
    <x v="5"/>
    <x v="27"/>
    <s v="25_MS_G33"/>
    <s v="Ha. Vi. 2 Bruxelles – RGC Hansa 11-8"/>
    <n v="8"/>
    <n v="11"/>
    <n v="-3"/>
    <s v="Ha. Vi. 2 Bruxelles"/>
    <s v="11-8"/>
    <n v="11"/>
    <n v="8"/>
    <s v="Medal"/>
    <s v="Finals QF/SF/Medal"/>
    <s v="Loss"/>
    <n v="0"/>
    <n v="0"/>
    <n v="0"/>
    <m/>
  </r>
  <r>
    <x v="2"/>
    <x v="5"/>
    <x v="27"/>
    <s v="25_MS_G29"/>
    <s v="RGC Hansa – BRUK-BET Termalica Krakow Ot. 9-8"/>
    <n v="9"/>
    <n v="8"/>
    <n v="1"/>
    <s v="RGC Hansa"/>
    <s v="9-8"/>
    <n v="9"/>
    <n v="8"/>
    <s v="SF"/>
    <s v="Finals QF/SF/Medal in OT or Extra Throws"/>
    <s v="Win"/>
    <n v="4"/>
    <n v="4"/>
    <n v="2"/>
    <m/>
  </r>
  <r>
    <x v="1"/>
    <x v="4"/>
    <x v="27"/>
    <s v="25_RO_G13"/>
    <s v="RGC Hansa – GC Perun 10:0"/>
    <n v="10"/>
    <n v="0"/>
    <n v="10"/>
    <s v="RGC Hansa"/>
    <s v="10:0"/>
    <n v="10"/>
    <n v="0"/>
    <s v="QF"/>
    <s v="Qualifier QF/SF/Medal"/>
    <s v="Win"/>
    <n v="4.5"/>
    <n v="4.5"/>
    <n v="2.25"/>
    <m/>
  </r>
  <r>
    <x v="1"/>
    <x v="4"/>
    <x v="27"/>
    <s v="25_RO_G18"/>
    <s v="RGC Hansa – SSG Blista Marburg 13:5"/>
    <n v="13"/>
    <n v="5"/>
    <n v="8"/>
    <s v="RGC Hansa"/>
    <s v="13:5"/>
    <n v="13"/>
    <n v="5"/>
    <s v="SF"/>
    <s v="Qualifier QF/SF/Medal"/>
    <s v="Win"/>
    <n v="4.5"/>
    <n v="4.5"/>
    <n v="2.25"/>
    <m/>
  </r>
  <r>
    <x v="1"/>
    <x v="4"/>
    <x v="27"/>
    <s v="25_RO_G01"/>
    <s v="Invasport Ukraine – RGC Hansa 1:11"/>
    <n v="11"/>
    <n v="1"/>
    <n v="10"/>
    <s v="Invasport Ukraine"/>
    <s v="1:11"/>
    <n v="1"/>
    <n v="11"/>
    <s v="Group"/>
    <s v="Qualifier Group Stage"/>
    <s v="Win"/>
    <n v="3"/>
    <n v="3"/>
    <n v="1.5"/>
    <m/>
  </r>
  <r>
    <x v="1"/>
    <x v="4"/>
    <x v="27"/>
    <s v="25_RO_G05"/>
    <s v="RGC Hansa – ASD Omero Bergamo 10:3"/>
    <n v="10"/>
    <n v="3"/>
    <n v="7"/>
    <s v="RGC Hansa"/>
    <s v="10:3"/>
    <n v="10"/>
    <n v="3"/>
    <s v="Group"/>
    <s v="Qualifier Group Stage"/>
    <s v="Win"/>
    <n v="3"/>
    <n v="3"/>
    <n v="1.5"/>
    <m/>
  </r>
  <r>
    <x v="1"/>
    <x v="4"/>
    <x v="27"/>
    <s v="25_RO_G10"/>
    <s v="RGC Hansa – FSBU Gothenburg 13:3"/>
    <n v="13"/>
    <n v="3"/>
    <n v="10"/>
    <s v="RGC Hansa"/>
    <s v="13:3"/>
    <n v="13"/>
    <n v="3"/>
    <s v="Group"/>
    <s v="Qualifier Group Stage"/>
    <s v="Win"/>
    <n v="3"/>
    <n v="3"/>
    <n v="1.5"/>
    <m/>
  </r>
  <r>
    <x v="1"/>
    <x v="4"/>
    <x v="27"/>
    <s v="25_RO_G24"/>
    <s v="RGC Hansa – Näpäjä 4:4 After over time 5:4"/>
    <n v="5"/>
    <n v="4"/>
    <n v="1"/>
    <s v="RGC Hansa"/>
    <s v="5:4"/>
    <n v="5"/>
    <n v="4"/>
    <s v="Medal"/>
    <s v="Qualifier QF/SF/Medal in OT or Extra Throws"/>
    <s v="Win"/>
    <n v="3"/>
    <n v="3"/>
    <n v="1.5"/>
    <m/>
  </r>
  <r>
    <x v="0"/>
    <x v="0"/>
    <x v="28"/>
    <s v="26_BA_G17"/>
    <s v="Sporting CP – Näpäjä 16-7"/>
    <n v="16"/>
    <n v="7"/>
    <n v="9"/>
    <s v="Sporting CP"/>
    <s v="16-7"/>
    <n v="16"/>
    <n v="7"/>
    <s v="Placement"/>
    <s v="Qualifier Placement"/>
    <s v="Win"/>
    <n v="3"/>
    <m/>
    <n v="3"/>
    <n v="1.5"/>
  </r>
  <r>
    <x v="0"/>
    <x v="0"/>
    <x v="28"/>
    <s v="26_BA_G22"/>
    <s v="Sporting CP – Ha. vi. 2 Bruxelles 12:9"/>
    <n v="12"/>
    <n v="9"/>
    <n v="3"/>
    <s v="Sporting CP"/>
    <s v="12:9"/>
    <n v="12"/>
    <n v="9"/>
    <s v="Placement"/>
    <s v="Qualifier Placement"/>
    <s v="Win"/>
    <n v="3"/>
    <m/>
    <n v="3"/>
    <n v="1.5"/>
  </r>
  <r>
    <x v="0"/>
    <x v="0"/>
    <x v="28"/>
    <s v="26_BA_G03"/>
    <s v="Northern Allstars – Sporting CP 6-5"/>
    <n v="5"/>
    <n v="6"/>
    <n v="-1"/>
    <s v="Northern Allstars"/>
    <s v="6-5"/>
    <n v="6"/>
    <n v="5"/>
    <s v="Group"/>
    <s v="Qualifier Group Stage"/>
    <s v="Loss"/>
    <n v="0"/>
    <m/>
    <n v="0"/>
    <n v="0"/>
  </r>
  <r>
    <x v="0"/>
    <x v="0"/>
    <x v="28"/>
    <s v="26_BA_G08"/>
    <s v="Sporting CP – Aarhus Goalball 7-8"/>
    <n v="7"/>
    <n v="8"/>
    <n v="-1"/>
    <s v="Sporting CP"/>
    <s v="7-8"/>
    <n v="7"/>
    <n v="8"/>
    <s v="Group"/>
    <s v="Qualifier Group Stage"/>
    <s v="Loss"/>
    <n v="0"/>
    <m/>
    <n v="0"/>
    <n v="0"/>
  </r>
  <r>
    <x v="0"/>
    <x v="0"/>
    <x v="28"/>
    <s v="26_BA_G12"/>
    <s v="BRUK-BET Termalica Krakow – Sporting CP 14-8"/>
    <n v="8"/>
    <n v="14"/>
    <n v="-6"/>
    <s v="BRUK-BET Termalica Krakow"/>
    <s v="14-8"/>
    <n v="14"/>
    <n v="8"/>
    <s v="Group"/>
    <s v="Qualifier Group Stage"/>
    <s v="Loss"/>
    <n v="0"/>
    <m/>
    <n v="0"/>
    <n v="0"/>
  </r>
  <r>
    <x v="0"/>
    <x v="0"/>
    <x v="28"/>
    <s v="26_BA_G13"/>
    <s v="RGC Hansa – Sporting CP 11-4"/>
    <n v="4"/>
    <n v="11"/>
    <n v="-7"/>
    <s v="RGC Hansa"/>
    <s v="11-4"/>
    <n v="11"/>
    <n v="4"/>
    <s v="QF"/>
    <s v="Qualifier QF/SF/Medal"/>
    <s v="Loss"/>
    <n v="0"/>
    <m/>
    <n v="0"/>
    <n v="0"/>
  </r>
  <r>
    <x v="1"/>
    <x v="1"/>
    <x v="28"/>
    <s v="25_PB_G06"/>
    <s v="Sporting CP – Northern Allstars 14-7"/>
    <n v="14"/>
    <n v="7"/>
    <n v="7"/>
    <s v="Sporting CP"/>
    <s v="14-7"/>
    <n v="14"/>
    <n v="7"/>
    <s v="Group"/>
    <s v="Qualifier Group Stage"/>
    <s v="Win"/>
    <n v="3"/>
    <n v="3"/>
    <n v="1.5"/>
    <m/>
  </r>
  <r>
    <x v="1"/>
    <x v="1"/>
    <x v="28"/>
    <s v="25_PB_G10"/>
    <s v="Füchse Berlin – Sporting CP 1-11"/>
    <n v="11"/>
    <n v="1"/>
    <n v="10"/>
    <s v="Füchse Berlin"/>
    <s v="1-11"/>
    <n v="1"/>
    <n v="11"/>
    <s v="Group"/>
    <s v="Qualifier Group Stage"/>
    <s v="Win"/>
    <n v="3"/>
    <n v="3"/>
    <n v="1.5"/>
    <m/>
  </r>
  <r>
    <x v="1"/>
    <x v="1"/>
    <x v="28"/>
    <s v="25_PB_G19"/>
    <s v="Füchse Berlin – Sporting CP 6-11"/>
    <n v="11"/>
    <n v="6"/>
    <n v="5"/>
    <s v="Füchse Berlin"/>
    <s v="6-11"/>
    <n v="6"/>
    <n v="11"/>
    <s v="Placement"/>
    <s v="Qualifier Placement"/>
    <s v="Win"/>
    <n v="3"/>
    <n v="3"/>
    <n v="1.5"/>
    <m/>
  </r>
  <r>
    <x v="1"/>
    <x v="1"/>
    <x v="28"/>
    <s v="25_PB_G02"/>
    <s v="Old Power – Sporting CP 11-9"/>
    <n v="9"/>
    <n v="11"/>
    <n v="-2"/>
    <s v="Old Power"/>
    <s v="11-9"/>
    <n v="11"/>
    <n v="9"/>
    <s v="Group"/>
    <s v="Qualifier Group Stage"/>
    <s v="Loss"/>
    <n v="0"/>
    <n v="0"/>
    <n v="0"/>
    <m/>
  </r>
  <r>
    <x v="1"/>
    <x v="1"/>
    <x v="28"/>
    <s v="25_PB_G16"/>
    <s v="Sporting CP – CSAVH Lyon 6-8"/>
    <n v="6"/>
    <n v="8"/>
    <n v="-2"/>
    <s v="Sporting CP"/>
    <s v="6-8"/>
    <n v="6"/>
    <n v="8"/>
    <s v="QF"/>
    <s v="Qualifier QF/SF/Medal"/>
    <s v="Loss"/>
    <n v="0"/>
    <n v="0"/>
    <n v="0"/>
    <m/>
  </r>
  <r>
    <x v="1"/>
    <x v="1"/>
    <x v="28"/>
    <s v="25_PB_G22"/>
    <s v="Aarhus Goalball – Sporting CP 7-3"/>
    <n v="3"/>
    <n v="7"/>
    <n v="-4"/>
    <s v="Aarhus Goalball"/>
    <s v="7-3"/>
    <n v="7"/>
    <n v="3"/>
    <s v="Placement"/>
    <s v="Qualifier Placement"/>
    <s v="Loss"/>
    <n v="0"/>
    <n v="0"/>
    <n v="0"/>
    <m/>
  </r>
  <r>
    <x v="0"/>
    <x v="3"/>
    <x v="29"/>
    <s v="26_OV_G10"/>
    <s v="SSG Blista Marburg – Fen Tigers 9-1"/>
    <n v="9"/>
    <n v="1"/>
    <n v="8"/>
    <s v="SSG Blista Marburg"/>
    <s v="9-1"/>
    <n v="9"/>
    <n v="1"/>
    <s v="Group"/>
    <s v="Qualifier Group Stage"/>
    <s v="Win"/>
    <n v="3"/>
    <m/>
    <n v="3"/>
    <n v="1.5"/>
  </r>
  <r>
    <x v="0"/>
    <x v="3"/>
    <x v="29"/>
    <s v="26_OV_G21"/>
    <s v="SSG Blista Marburg – BSI Copenhagen 11-6"/>
    <n v="11"/>
    <n v="6"/>
    <n v="5"/>
    <s v="SSG Blista Marburg"/>
    <s v="11-6"/>
    <n v="11"/>
    <n v="6"/>
    <s v="Placement"/>
    <s v="Qualifier Placement"/>
    <s v="Win"/>
    <n v="3"/>
    <m/>
    <n v="3"/>
    <n v="1.5"/>
  </r>
  <r>
    <x v="0"/>
    <x v="3"/>
    <x v="29"/>
    <s v="26_OV_G02"/>
    <s v="ASD Omero Bergamo – SSG Blista Marburg 6-5"/>
    <n v="5"/>
    <n v="6"/>
    <n v="-1"/>
    <s v="ASD Omero Bergamo"/>
    <s v="6-5"/>
    <n v="6"/>
    <n v="5"/>
    <s v="Group"/>
    <s v="Qualifier Group Stage"/>
    <s v="Loss"/>
    <n v="0"/>
    <m/>
    <n v="0"/>
    <n v="0"/>
  </r>
  <r>
    <x v="0"/>
    <x v="3"/>
    <x v="29"/>
    <s v="26_OV_G05"/>
    <s v="SSG Blista Marburg – FC Porto 7-11"/>
    <n v="7"/>
    <n v="11"/>
    <n v="-4"/>
    <s v="SSG Blista Marburg"/>
    <s v="7-11"/>
    <n v="7"/>
    <n v="11"/>
    <s v="Group"/>
    <s v="Qualifier Group Stage"/>
    <s v="Loss"/>
    <n v="0"/>
    <m/>
    <n v="0"/>
    <n v="0"/>
  </r>
  <r>
    <x v="0"/>
    <x v="3"/>
    <x v="29"/>
    <s v="26_OV_G14"/>
    <s v="ASCND Marseille – SSG Blista Marburg 9-5"/>
    <n v="5"/>
    <n v="9"/>
    <n v="-4"/>
    <s v="ASCND Marseille"/>
    <s v="9-5"/>
    <n v="9"/>
    <n v="5"/>
    <s v="QF"/>
    <s v="Qualifier QF/SF/Medal"/>
    <s v="Loss"/>
    <n v="0"/>
    <m/>
    <n v="0"/>
    <n v="0"/>
  </r>
  <r>
    <x v="0"/>
    <x v="3"/>
    <x v="29"/>
    <s v="26_OV_G17"/>
    <s v="FC Porto – SSG Blista Marburg 9-8"/>
    <n v="8"/>
    <n v="9"/>
    <n v="-1"/>
    <s v="FC Porto"/>
    <s v="9-8"/>
    <n v="9"/>
    <n v="8"/>
    <s v="Placement"/>
    <s v="Qualifier Placement"/>
    <s v="Loss"/>
    <n v="0"/>
    <m/>
    <n v="0"/>
    <n v="0"/>
  </r>
  <r>
    <x v="1"/>
    <x v="4"/>
    <x v="29"/>
    <s v="25_RO_G14"/>
    <s v="SSG Blista Marburg – FSBU Gothenburg 10:5"/>
    <n v="10"/>
    <n v="5"/>
    <n v="5"/>
    <s v="SSG Blista Marburg"/>
    <s v="10:5"/>
    <n v="10"/>
    <n v="5"/>
    <s v="QF"/>
    <s v="Qualifier QF/SF/Medal"/>
    <s v="Win"/>
    <n v="4.5"/>
    <n v="4.5"/>
    <n v="2.25"/>
    <m/>
  </r>
  <r>
    <x v="1"/>
    <x v="4"/>
    <x v="29"/>
    <s v="25_RO_G12"/>
    <s v="GC Perun – SSG Blista Marburg 1:11"/>
    <n v="11"/>
    <n v="1"/>
    <n v="10"/>
    <s v="GC Perun"/>
    <s v="1:11"/>
    <n v="1"/>
    <n v="11"/>
    <s v="Group"/>
    <s v="Qualifier Group Stage"/>
    <s v="Win"/>
    <n v="3"/>
    <n v="3"/>
    <n v="1.5"/>
    <m/>
  </r>
  <r>
    <x v="1"/>
    <x v="4"/>
    <x v="29"/>
    <s v="25_RO_G04"/>
    <s v="Näpäjä – SSG Blista Marburg 6:6"/>
    <n v="6"/>
    <n v="6"/>
    <n v="0"/>
    <s v="Näpäjä"/>
    <s v="6:6"/>
    <n v="6"/>
    <n v="6"/>
    <s v="Group"/>
    <s v="Qualifier Group Stage"/>
    <s v="Draw"/>
    <n v="1"/>
    <n v="1"/>
    <n v="0.5"/>
    <m/>
  </r>
  <r>
    <x v="1"/>
    <x v="4"/>
    <x v="29"/>
    <s v="25_RO_G08"/>
    <s v="SSG Blista Marburg – NGA Lions 5:8"/>
    <n v="5"/>
    <n v="8"/>
    <n v="-3"/>
    <s v="SSG Blista Marburg"/>
    <s v="5:8"/>
    <n v="5"/>
    <n v="8"/>
    <s v="Group"/>
    <s v="Qualifier Group Stage"/>
    <s v="Loss"/>
    <n v="0"/>
    <n v="0"/>
    <n v="0"/>
    <m/>
  </r>
  <r>
    <x v="1"/>
    <x v="4"/>
    <x v="29"/>
    <s v="25_RO_G18"/>
    <s v="RGC Hansa – SSG Blista Marburg 13:5"/>
    <n v="5"/>
    <n v="13"/>
    <n v="-8"/>
    <s v="RGC Hansa"/>
    <s v="13:5"/>
    <n v="13"/>
    <n v="5"/>
    <s v="SF"/>
    <s v="Qualifier QF/SF/Medal"/>
    <s v="Loss"/>
    <n v="0"/>
    <n v="0"/>
    <n v="0"/>
    <m/>
  </r>
  <r>
    <x v="1"/>
    <x v="4"/>
    <x v="29"/>
    <s v="25_RO_G23"/>
    <s v="SSG Blista Marburg – NGA Lions 5:15"/>
    <n v="5"/>
    <n v="15"/>
    <n v="-10"/>
    <s v="SSG Blista Marburg"/>
    <s v="5:15"/>
    <n v="5"/>
    <n v="15"/>
    <s v="Medal"/>
    <s v="Qualifier QF/SF/Medal"/>
    <s v="Loss"/>
    <n v="0"/>
    <n v="0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">
  <r>
    <x v="0"/>
    <s v="Berlin"/>
    <x v="0"/>
    <s v="25_BE_G01"/>
    <x v="0"/>
    <n v="8"/>
    <n v="14"/>
    <n v="-6"/>
    <s v="USV Hercules"/>
    <s v="8-14"/>
    <n v="8"/>
    <n v="14"/>
    <n v="1"/>
    <x v="0"/>
    <s v="Qualifier Group Stage"/>
    <s v="Loss"/>
    <n v="0"/>
    <n v="0"/>
    <n v="0"/>
    <m/>
  </r>
  <r>
    <x v="0"/>
    <s v="Berlin"/>
    <x v="1"/>
    <s v="25_BE_G01"/>
    <x v="0"/>
    <n v="14"/>
    <n v="8"/>
    <n v="6"/>
    <s v="USV Hercules"/>
    <s v="8-14"/>
    <n v="8"/>
    <n v="14"/>
    <n v="1"/>
    <x v="0"/>
    <s v="Qualifier Group Stage"/>
    <s v="Win"/>
    <n v="3"/>
    <n v="3"/>
    <n v="1.5"/>
    <m/>
  </r>
  <r>
    <x v="0"/>
    <s v="Berlin"/>
    <x v="2"/>
    <s v="25_BE_G02"/>
    <x v="1"/>
    <n v="4"/>
    <n v="1"/>
    <n v="3"/>
    <s v="RGC Hansa"/>
    <s v="4-1"/>
    <n v="4"/>
    <n v="1"/>
    <n v="1"/>
    <x v="0"/>
    <s v="Qualifier Group Stage"/>
    <s v="Win"/>
    <n v="3"/>
    <n v="3"/>
    <n v="1.5"/>
    <m/>
  </r>
  <r>
    <x v="0"/>
    <s v="Berlin"/>
    <x v="3"/>
    <s v="25_BE_G02"/>
    <x v="1"/>
    <n v="1"/>
    <n v="4"/>
    <n v="-3"/>
    <s v="RGC Hansa"/>
    <s v="4-1"/>
    <n v="4"/>
    <n v="1"/>
    <n v="1"/>
    <x v="0"/>
    <s v="Qualifier Group Stage"/>
    <s v="Loss"/>
    <n v="0"/>
    <n v="0"/>
    <n v="0"/>
    <m/>
  </r>
  <r>
    <x v="0"/>
    <s v="Berlin"/>
    <x v="4"/>
    <s v="25_BE_G03"/>
    <x v="2"/>
    <n v="5"/>
    <n v="12"/>
    <n v="-7"/>
    <s v="CSAVH Lyon"/>
    <s v="5-12"/>
    <n v="5"/>
    <n v="12"/>
    <n v="1"/>
    <x v="0"/>
    <s v="Qualifier Group Stage"/>
    <s v="Loss"/>
    <n v="0"/>
    <n v="0"/>
    <n v="0"/>
    <m/>
  </r>
  <r>
    <x v="0"/>
    <s v="Berlin"/>
    <x v="5"/>
    <s v="25_BE_G03"/>
    <x v="2"/>
    <n v="12"/>
    <n v="5"/>
    <n v="7"/>
    <s v="CSAVH Lyon"/>
    <s v="5-12"/>
    <n v="5"/>
    <n v="12"/>
    <n v="1"/>
    <x v="0"/>
    <s v="Qualifier Group Stage"/>
    <s v="Win"/>
    <n v="3"/>
    <n v="3"/>
    <n v="1.5"/>
    <m/>
  </r>
  <r>
    <x v="0"/>
    <s v="Berlin"/>
    <x v="6"/>
    <s v="25_BE_G04"/>
    <x v="3"/>
    <n v="8"/>
    <n v="1"/>
    <n v="7"/>
    <s v="Füchse Berlin"/>
    <s v="8-1"/>
    <n v="8"/>
    <n v="1"/>
    <n v="1"/>
    <x v="0"/>
    <s v="Qualifier Group Stage"/>
    <s v="Win"/>
    <n v="3"/>
    <n v="3"/>
    <n v="1.5"/>
    <m/>
  </r>
  <r>
    <x v="0"/>
    <s v="Berlin"/>
    <x v="7"/>
    <s v="25_BE_G04"/>
    <x v="3"/>
    <n v="1"/>
    <n v="8"/>
    <n v="-7"/>
    <s v="Füchse Berlin"/>
    <s v="8-1"/>
    <n v="8"/>
    <n v="1"/>
    <n v="1"/>
    <x v="0"/>
    <s v="Qualifier Group Stage"/>
    <s v="Loss"/>
    <n v="0"/>
    <n v="0"/>
    <n v="0"/>
    <m/>
  </r>
  <r>
    <x v="0"/>
    <s v="Berlin"/>
    <x v="8"/>
    <s v="25_BE_G05"/>
    <x v="4"/>
    <n v="8"/>
    <n v="6"/>
    <n v="2"/>
    <s v="FIFH Malmo"/>
    <s v="8-6"/>
    <n v="8"/>
    <n v="6"/>
    <n v="1"/>
    <x v="0"/>
    <s v="Qualifier Group Stage"/>
    <s v="Win"/>
    <n v="3"/>
    <n v="3"/>
    <n v="1.5"/>
    <m/>
  </r>
  <r>
    <x v="0"/>
    <s v="Berlin"/>
    <x v="0"/>
    <s v="25_BE_G05"/>
    <x v="4"/>
    <n v="6"/>
    <n v="8"/>
    <n v="-2"/>
    <s v="FIFH Malmo"/>
    <s v="8-6"/>
    <n v="8"/>
    <n v="6"/>
    <n v="1"/>
    <x v="0"/>
    <s v="Qualifier Group Stage"/>
    <s v="Loss"/>
    <n v="0"/>
    <n v="0"/>
    <n v="0"/>
    <m/>
  </r>
  <r>
    <x v="0"/>
    <s v="Berlin"/>
    <x v="1"/>
    <s v="25_BE_G06"/>
    <x v="5"/>
    <n v="2"/>
    <n v="3"/>
    <n v="-1"/>
    <s v="Old Power"/>
    <s v="2-3"/>
    <n v="2"/>
    <n v="3"/>
    <n v="1"/>
    <x v="0"/>
    <s v="Qualifier Group Stage"/>
    <s v="Loss"/>
    <n v="0"/>
    <n v="0"/>
    <n v="0"/>
    <m/>
  </r>
  <r>
    <x v="0"/>
    <s v="Berlin"/>
    <x v="2"/>
    <s v="25_BE_G06"/>
    <x v="5"/>
    <n v="3"/>
    <n v="2"/>
    <n v="1"/>
    <s v="Old Power"/>
    <s v="2-3"/>
    <n v="2"/>
    <n v="3"/>
    <n v="1"/>
    <x v="0"/>
    <s v="Qualifier Group Stage"/>
    <s v="Win"/>
    <n v="3"/>
    <n v="3"/>
    <n v="1.5"/>
    <m/>
  </r>
  <r>
    <x v="0"/>
    <s v="Berlin"/>
    <x v="9"/>
    <s v="25_BE_G07"/>
    <x v="6"/>
    <n v="12"/>
    <n v="2"/>
    <n v="10"/>
    <s v="Kahramanmaras"/>
    <s v="12-2"/>
    <n v="12"/>
    <n v="2"/>
    <n v="1"/>
    <x v="0"/>
    <s v="Qualifier Group Stage"/>
    <s v="Win"/>
    <n v="3"/>
    <n v="3"/>
    <n v="1.5"/>
    <m/>
  </r>
  <r>
    <x v="0"/>
    <s v="Berlin"/>
    <x v="4"/>
    <s v="25_BE_G07"/>
    <x v="6"/>
    <n v="2"/>
    <n v="12"/>
    <n v="-10"/>
    <s v="Kahramanmaras"/>
    <s v="12-2"/>
    <n v="12"/>
    <n v="2"/>
    <n v="1"/>
    <x v="0"/>
    <s v="Qualifier Group Stage"/>
    <s v="Loss"/>
    <n v="0"/>
    <n v="0"/>
    <n v="0"/>
    <m/>
  </r>
  <r>
    <x v="0"/>
    <s v="Berlin"/>
    <x v="5"/>
    <s v="25_BE_G08"/>
    <x v="7"/>
    <n v="4"/>
    <n v="11"/>
    <n v="-7"/>
    <s v="Näpäjä"/>
    <s v="4-11"/>
    <n v="4"/>
    <n v="11"/>
    <n v="1"/>
    <x v="0"/>
    <s v="Qualifier Group Stage"/>
    <s v="Loss"/>
    <n v="0"/>
    <n v="0"/>
    <n v="0"/>
    <m/>
  </r>
  <r>
    <x v="0"/>
    <s v="Berlin"/>
    <x v="6"/>
    <s v="25_BE_G08"/>
    <x v="7"/>
    <n v="11"/>
    <n v="4"/>
    <n v="7"/>
    <s v="Näpäjä"/>
    <s v="4-11"/>
    <n v="4"/>
    <n v="11"/>
    <n v="1"/>
    <x v="0"/>
    <s v="Qualifier Group Stage"/>
    <s v="Win"/>
    <n v="3"/>
    <n v="3"/>
    <n v="1.5"/>
    <m/>
  </r>
  <r>
    <x v="0"/>
    <s v="Berlin"/>
    <x v="3"/>
    <s v="25_BE_G09"/>
    <x v="8"/>
    <n v="4"/>
    <n v="5"/>
    <n v="-1"/>
    <s v="GC Golden Flash"/>
    <s v="4-5"/>
    <n v="4"/>
    <n v="5"/>
    <n v="1"/>
    <x v="0"/>
    <s v="Qualifier Group Stage"/>
    <s v="Loss"/>
    <n v="0"/>
    <n v="0"/>
    <n v="0"/>
    <m/>
  </r>
  <r>
    <x v="0"/>
    <s v="Berlin"/>
    <x v="8"/>
    <s v="25_BE_G09"/>
    <x v="8"/>
    <n v="5"/>
    <n v="4"/>
    <n v="1"/>
    <s v="GC Golden Flash"/>
    <s v="4-5"/>
    <n v="4"/>
    <n v="5"/>
    <n v="1"/>
    <x v="0"/>
    <s v="Qualifier Group Stage"/>
    <s v="Win"/>
    <n v="3"/>
    <n v="3"/>
    <n v="1.5"/>
    <m/>
  </r>
  <r>
    <x v="0"/>
    <s v="Berlin"/>
    <x v="7"/>
    <s v="25_BE_G10"/>
    <x v="9"/>
    <n v="0"/>
    <n v="8"/>
    <n v="-8"/>
    <s v="Kleio Thessaloniki"/>
    <s v="0-8"/>
    <n v="0"/>
    <n v="8"/>
    <n v="1"/>
    <x v="0"/>
    <s v="Qualifier Group Stage"/>
    <s v="Loss"/>
    <n v="0"/>
    <n v="0"/>
    <n v="0"/>
    <m/>
  </r>
  <r>
    <x v="0"/>
    <s v="Berlin"/>
    <x v="9"/>
    <s v="25_BE_G10"/>
    <x v="9"/>
    <n v="8"/>
    <n v="0"/>
    <n v="8"/>
    <s v="Kleio Thessaloniki"/>
    <s v="0-8"/>
    <n v="0"/>
    <n v="8"/>
    <n v="1"/>
    <x v="0"/>
    <s v="Qualifier Group Stage"/>
    <s v="Win"/>
    <n v="3"/>
    <n v="3"/>
    <n v="1.5"/>
    <m/>
  </r>
  <r>
    <x v="0"/>
    <s v="Berlin"/>
    <x v="2"/>
    <s v="25_BE_G11"/>
    <x v="10"/>
    <n v="5"/>
    <n v="5"/>
    <n v="0"/>
    <s v="RGC Hansa"/>
    <s v="5-5"/>
    <n v="5"/>
    <n v="5"/>
    <n v="1"/>
    <x v="0"/>
    <s v="Qualifier Group Stage"/>
    <s v="Draw"/>
    <n v="1"/>
    <n v="1"/>
    <n v="0.5"/>
    <m/>
  </r>
  <r>
    <x v="0"/>
    <s v="Berlin"/>
    <x v="0"/>
    <s v="25_BE_G11"/>
    <x v="10"/>
    <n v="5"/>
    <n v="5"/>
    <n v="0"/>
    <s v="RGC Hansa"/>
    <s v="5-5"/>
    <n v="5"/>
    <n v="5"/>
    <n v="1"/>
    <x v="0"/>
    <s v="Qualifier Group Stage"/>
    <s v="Draw"/>
    <n v="1"/>
    <n v="1"/>
    <n v="0.5"/>
    <m/>
  </r>
  <r>
    <x v="0"/>
    <s v="Berlin"/>
    <x v="1"/>
    <s v="25_BE_G12"/>
    <x v="11"/>
    <n v="3"/>
    <n v="4"/>
    <n v="-1"/>
    <s v="Old Power"/>
    <s v="3-4"/>
    <n v="3"/>
    <n v="4"/>
    <n v="1"/>
    <x v="0"/>
    <s v="Qualifier Group Stage"/>
    <s v="Loss"/>
    <n v="0"/>
    <n v="0"/>
    <n v="0"/>
    <m/>
  </r>
  <r>
    <x v="0"/>
    <s v="Berlin"/>
    <x v="8"/>
    <s v="25_BE_G12"/>
    <x v="11"/>
    <n v="4"/>
    <n v="3"/>
    <n v="1"/>
    <s v="Old Power"/>
    <s v="3-4"/>
    <n v="3"/>
    <n v="4"/>
    <n v="1"/>
    <x v="0"/>
    <s v="Qualifier Group Stage"/>
    <s v="Win"/>
    <n v="3"/>
    <n v="3"/>
    <n v="1.5"/>
    <m/>
  </r>
  <r>
    <x v="0"/>
    <s v="Berlin"/>
    <x v="6"/>
    <s v="25_BE_G13"/>
    <x v="12"/>
    <n v="8"/>
    <n v="2"/>
    <n v="6"/>
    <s v="Füchse Berlin"/>
    <s v="8-2"/>
    <n v="8"/>
    <n v="2"/>
    <n v="1"/>
    <x v="0"/>
    <s v="Qualifier Group Stage"/>
    <s v="Win"/>
    <n v="3"/>
    <n v="3"/>
    <n v="1.5"/>
    <m/>
  </r>
  <r>
    <x v="0"/>
    <s v="Berlin"/>
    <x v="4"/>
    <s v="25_BE_G13"/>
    <x v="12"/>
    <n v="2"/>
    <n v="8"/>
    <n v="-6"/>
    <s v="Füchse Berlin"/>
    <s v="8-2"/>
    <n v="8"/>
    <n v="2"/>
    <n v="1"/>
    <x v="0"/>
    <s v="Qualifier Group Stage"/>
    <s v="Loss"/>
    <n v="0"/>
    <n v="0"/>
    <n v="0"/>
    <m/>
  </r>
  <r>
    <x v="0"/>
    <s v="Berlin"/>
    <x v="5"/>
    <s v="25_BE_G14"/>
    <x v="13"/>
    <n v="2"/>
    <n v="8"/>
    <n v="-6"/>
    <s v="Näpäjä"/>
    <s v="2-8"/>
    <n v="2"/>
    <n v="8"/>
    <n v="1"/>
    <x v="0"/>
    <s v="Qualifier Group Stage"/>
    <s v="Loss"/>
    <n v="0"/>
    <n v="0"/>
    <n v="0"/>
    <m/>
  </r>
  <r>
    <x v="0"/>
    <s v="Berlin"/>
    <x v="9"/>
    <s v="25_BE_G14"/>
    <x v="13"/>
    <n v="8"/>
    <n v="2"/>
    <n v="6"/>
    <s v="Näpäjä"/>
    <s v="2-8"/>
    <n v="2"/>
    <n v="8"/>
    <n v="1"/>
    <x v="0"/>
    <s v="Qualifier Group Stage"/>
    <s v="Win"/>
    <n v="3"/>
    <n v="3"/>
    <n v="1.5"/>
    <m/>
  </r>
  <r>
    <x v="0"/>
    <s v="Berlin"/>
    <x v="0"/>
    <s v="25_BE_G15"/>
    <x v="14"/>
    <n v="4"/>
    <n v="5"/>
    <n v="-1"/>
    <s v="USV Hercules"/>
    <s v="4-5"/>
    <n v="4"/>
    <n v="5"/>
    <n v="1"/>
    <x v="0"/>
    <s v="Qualifier Group Stage"/>
    <s v="Loss"/>
    <n v="0"/>
    <n v="0"/>
    <n v="0"/>
    <m/>
  </r>
  <r>
    <x v="0"/>
    <s v="Berlin"/>
    <x v="3"/>
    <s v="25_BE_G15"/>
    <x v="14"/>
    <n v="5"/>
    <n v="4"/>
    <n v="1"/>
    <s v="USV Hercules"/>
    <s v="4-5"/>
    <n v="4"/>
    <n v="5"/>
    <n v="1"/>
    <x v="0"/>
    <s v="Qualifier Group Stage"/>
    <s v="Win"/>
    <n v="3"/>
    <n v="3"/>
    <n v="1.5"/>
    <m/>
  </r>
  <r>
    <x v="0"/>
    <s v="Berlin"/>
    <x v="8"/>
    <s v="25_BE_G16"/>
    <x v="15"/>
    <n v="9"/>
    <n v="2"/>
    <n v="7"/>
    <s v="FIFH Malmo"/>
    <s v="9-2"/>
    <n v="9"/>
    <n v="2"/>
    <n v="1"/>
    <x v="0"/>
    <s v="Qualifier Group Stage"/>
    <s v="Win"/>
    <n v="3"/>
    <n v="3"/>
    <n v="1.5"/>
    <m/>
  </r>
  <r>
    <x v="0"/>
    <s v="Berlin"/>
    <x v="2"/>
    <s v="25_BE_G16"/>
    <x v="15"/>
    <n v="2"/>
    <n v="9"/>
    <n v="-7"/>
    <s v="FIFH Malmo"/>
    <s v="9-2"/>
    <n v="9"/>
    <n v="2"/>
    <n v="1"/>
    <x v="0"/>
    <s v="Qualifier Group Stage"/>
    <s v="Loss"/>
    <n v="0"/>
    <n v="0"/>
    <n v="0"/>
    <m/>
  </r>
  <r>
    <x v="0"/>
    <s v="Berlin"/>
    <x v="4"/>
    <s v="25_BE_G17"/>
    <x v="16"/>
    <n v="0"/>
    <n v="3"/>
    <n v="-3"/>
    <s v="CSAVH Lyon"/>
    <s v="0-3"/>
    <n v="0"/>
    <n v="3"/>
    <n v="1"/>
    <x v="0"/>
    <s v="Qualifier Group Stage"/>
    <s v="Loss"/>
    <n v="0"/>
    <n v="0"/>
    <n v="0"/>
    <m/>
  </r>
  <r>
    <x v="0"/>
    <s v="Berlin"/>
    <x v="7"/>
    <s v="25_BE_G17"/>
    <x v="16"/>
    <n v="3"/>
    <n v="0"/>
    <n v="3"/>
    <s v="CSAVH Lyon"/>
    <s v="0-3"/>
    <n v="0"/>
    <n v="3"/>
    <n v="1"/>
    <x v="0"/>
    <s v="Qualifier Group Stage"/>
    <s v="Win"/>
    <n v="3"/>
    <n v="3"/>
    <n v="1.5"/>
    <m/>
  </r>
  <r>
    <x v="0"/>
    <s v="Berlin"/>
    <x v="9"/>
    <s v="25_BE_G18"/>
    <x v="17"/>
    <n v="7"/>
    <n v="5"/>
    <n v="2"/>
    <s v="Kahramanmaras"/>
    <s v="7-5"/>
    <n v="7"/>
    <n v="5"/>
    <n v="1"/>
    <x v="0"/>
    <s v="Qualifier Group Stage"/>
    <s v="Win"/>
    <n v="3"/>
    <n v="3"/>
    <n v="1.5"/>
    <m/>
  </r>
  <r>
    <x v="0"/>
    <s v="Berlin"/>
    <x v="6"/>
    <s v="25_BE_G18"/>
    <x v="17"/>
    <n v="5"/>
    <n v="7"/>
    <n v="-2"/>
    <s v="Kahramanmaras"/>
    <s v="7-5"/>
    <n v="7"/>
    <n v="5"/>
    <n v="1"/>
    <x v="0"/>
    <s v="Qualifier Group Stage"/>
    <s v="Loss"/>
    <n v="0"/>
    <n v="0"/>
    <n v="0"/>
    <m/>
  </r>
  <r>
    <x v="0"/>
    <s v="Berlin"/>
    <x v="3"/>
    <s v="25_BE_G19"/>
    <x v="18"/>
    <n v="1"/>
    <n v="5"/>
    <n v="-4"/>
    <s v="GC Golden Flash"/>
    <s v="1-5"/>
    <n v="1"/>
    <n v="5"/>
    <n v="1"/>
    <x v="0"/>
    <s v="Qualifier Group Stage"/>
    <s v="Loss"/>
    <n v="0"/>
    <n v="0"/>
    <n v="0"/>
    <m/>
  </r>
  <r>
    <x v="0"/>
    <s v="Berlin"/>
    <x v="1"/>
    <s v="25_BE_G19"/>
    <x v="18"/>
    <n v="5"/>
    <n v="1"/>
    <n v="4"/>
    <s v="GC Golden Flash"/>
    <s v="1-5"/>
    <n v="1"/>
    <n v="5"/>
    <n v="1"/>
    <x v="0"/>
    <s v="Qualifier Group Stage"/>
    <s v="Win"/>
    <n v="3"/>
    <n v="3"/>
    <n v="1.5"/>
    <m/>
  </r>
  <r>
    <x v="0"/>
    <s v="Berlin"/>
    <x v="7"/>
    <s v="25_BE_G20"/>
    <x v="19"/>
    <n v="1"/>
    <n v="6"/>
    <n v="-5"/>
    <s v="Kleio Thessaloniki"/>
    <s v="1-6"/>
    <n v="1"/>
    <n v="6"/>
    <n v="1"/>
    <x v="0"/>
    <s v="Qualifier Group Stage"/>
    <s v="Loss"/>
    <n v="0"/>
    <n v="0"/>
    <n v="0"/>
    <m/>
  </r>
  <r>
    <x v="0"/>
    <s v="Berlin"/>
    <x v="5"/>
    <s v="25_BE_G20"/>
    <x v="19"/>
    <n v="6"/>
    <n v="1"/>
    <n v="5"/>
    <s v="Kleio Thessaloniki"/>
    <s v="1-6"/>
    <n v="1"/>
    <n v="6"/>
    <n v="1"/>
    <x v="0"/>
    <s v="Qualifier Group Stage"/>
    <s v="Win"/>
    <n v="3"/>
    <n v="3"/>
    <n v="1.5"/>
    <m/>
  </r>
  <r>
    <x v="0"/>
    <s v="Berlin"/>
    <x v="1"/>
    <s v="25_BE_G21"/>
    <x v="20"/>
    <n v="1"/>
    <n v="2"/>
    <n v="-1"/>
    <s v="Old Power"/>
    <s v="1-2"/>
    <n v="1"/>
    <n v="2"/>
    <n v="1"/>
    <x v="1"/>
    <s v="Qualifier Placement in OT or Extra Throws"/>
    <s v="Loss"/>
    <n v="1"/>
    <n v="1"/>
    <n v="0.5"/>
    <m/>
  </r>
  <r>
    <x v="0"/>
    <s v="Berlin"/>
    <x v="7"/>
    <s v="25_BE_G21"/>
    <x v="20"/>
    <n v="2"/>
    <n v="1"/>
    <n v="1"/>
    <s v="Old Power"/>
    <s v="1-2"/>
    <n v="1"/>
    <n v="2"/>
    <n v="1"/>
    <x v="1"/>
    <s v="Qualifier Placement in OT or Extra Throws"/>
    <s v="Win"/>
    <n v="2"/>
    <n v="2"/>
    <n v="1"/>
    <m/>
  </r>
  <r>
    <x v="0"/>
    <s v="Berlin"/>
    <x v="5"/>
    <s v="25_BE_G22"/>
    <x v="21"/>
    <n v="4"/>
    <n v="3"/>
    <n v="1"/>
    <s v="Näpäjä"/>
    <s v="4-3"/>
    <n v="4"/>
    <n v="3"/>
    <n v="1"/>
    <x v="1"/>
    <s v="Qualifier Placement"/>
    <s v="Win"/>
    <n v="3"/>
    <n v="3"/>
    <n v="1.5"/>
    <m/>
  </r>
  <r>
    <x v="0"/>
    <s v="Berlin"/>
    <x v="3"/>
    <s v="25_BE_G22"/>
    <x v="21"/>
    <n v="3"/>
    <n v="4"/>
    <n v="-1"/>
    <s v="Näpäjä"/>
    <s v="4-3"/>
    <n v="4"/>
    <n v="3"/>
    <n v="1"/>
    <x v="1"/>
    <s v="Qualifier Placement"/>
    <s v="Loss"/>
    <n v="0"/>
    <n v="0"/>
    <n v="0"/>
    <m/>
  </r>
  <r>
    <x v="0"/>
    <s v="Berlin"/>
    <x v="8"/>
    <s v="25_BE_G23"/>
    <x v="22"/>
    <n v="1"/>
    <n v="3"/>
    <n v="-2"/>
    <s v="FIFH Malmo"/>
    <s v="1-3"/>
    <n v="1"/>
    <n v="3"/>
    <n v="1"/>
    <x v="2"/>
    <s v="Qualifier QF/SF/Medal"/>
    <s v="Loss"/>
    <n v="0"/>
    <n v="0"/>
    <n v="0"/>
    <m/>
  </r>
  <r>
    <x v="0"/>
    <s v="Berlin"/>
    <x v="6"/>
    <s v="25_BE_G23"/>
    <x v="22"/>
    <n v="3"/>
    <n v="1"/>
    <n v="2"/>
    <s v="FIFH Malmo"/>
    <s v="1-3"/>
    <n v="1"/>
    <n v="3"/>
    <n v="1"/>
    <x v="2"/>
    <s v="Qualifier QF/SF/Medal"/>
    <s v="Win"/>
    <n v="4.5"/>
    <n v="4.5"/>
    <n v="2.25"/>
    <m/>
  </r>
  <r>
    <x v="0"/>
    <s v="Berlin"/>
    <x v="9"/>
    <s v="25_BE_G24"/>
    <x v="23"/>
    <n v="6"/>
    <n v="2"/>
    <n v="4"/>
    <s v="Kahramanmaras"/>
    <s v="6-2"/>
    <n v="6"/>
    <n v="2"/>
    <n v="1"/>
    <x v="2"/>
    <s v="Qualifier QF/SF/Medal"/>
    <s v="Win"/>
    <n v="4.5"/>
    <n v="4.5"/>
    <n v="2.25"/>
    <m/>
  </r>
  <r>
    <x v="0"/>
    <s v="Berlin"/>
    <x v="2"/>
    <s v="25_BE_G24"/>
    <x v="23"/>
    <n v="2"/>
    <n v="6"/>
    <n v="-4"/>
    <s v="Kahramanmaras"/>
    <s v="6-2"/>
    <n v="6"/>
    <n v="2"/>
    <n v="1"/>
    <x v="2"/>
    <s v="Qualifier QF/SF/Medal"/>
    <s v="Loss"/>
    <n v="0"/>
    <n v="0"/>
    <n v="0"/>
    <m/>
  </r>
  <r>
    <x v="0"/>
    <s v="Berlin"/>
    <x v="0"/>
    <s v="25_BE_G25"/>
    <x v="24"/>
    <n v="15"/>
    <n v="7"/>
    <n v="8"/>
    <s v="USV Hercules"/>
    <s v="15-7"/>
    <n v="15"/>
    <n v="7"/>
    <n v="1"/>
    <x v="1"/>
    <s v="Qualifier Placement"/>
    <s v="Win"/>
    <n v="3"/>
    <n v="3"/>
    <n v="1.5"/>
    <m/>
  </r>
  <r>
    <x v="0"/>
    <s v="Berlin"/>
    <x v="4"/>
    <s v="25_BE_G25"/>
    <x v="24"/>
    <n v="7"/>
    <n v="15"/>
    <n v="-8"/>
    <s v="USV Hercules"/>
    <s v="15-7"/>
    <n v="15"/>
    <n v="7"/>
    <n v="1"/>
    <x v="1"/>
    <s v="Qualifier Placement"/>
    <s v="Loss"/>
    <n v="0"/>
    <n v="0"/>
    <n v="0"/>
    <m/>
  </r>
  <r>
    <x v="0"/>
    <s v="Berlin"/>
    <x v="1"/>
    <s v="25_BE_G26"/>
    <x v="25"/>
    <n v="4"/>
    <n v="2"/>
    <n v="2"/>
    <s v="Old Power"/>
    <s v="4-2"/>
    <n v="4"/>
    <n v="2"/>
    <n v="1"/>
    <x v="1"/>
    <s v="Qualifier Placement"/>
    <s v="Win"/>
    <n v="3"/>
    <n v="3"/>
    <n v="1.5"/>
    <m/>
  </r>
  <r>
    <x v="0"/>
    <s v="Berlin"/>
    <x v="3"/>
    <s v="25_BE_G26"/>
    <x v="25"/>
    <n v="2"/>
    <n v="4"/>
    <n v="-2"/>
    <s v="Old Power"/>
    <s v="4-2"/>
    <n v="4"/>
    <n v="2"/>
    <n v="1"/>
    <x v="1"/>
    <s v="Qualifier Placement"/>
    <s v="Loss"/>
    <n v="0"/>
    <n v="0"/>
    <n v="0"/>
    <m/>
  </r>
  <r>
    <x v="0"/>
    <s v="Berlin"/>
    <x v="7"/>
    <s v="25_BE_G27"/>
    <x v="26"/>
    <n v="0"/>
    <n v="4"/>
    <n v="-4"/>
    <s v="Kleio Thessaloniki"/>
    <s v="0-4"/>
    <n v="0"/>
    <n v="4"/>
    <n v="1"/>
    <x v="1"/>
    <s v="Qualifier Placement"/>
    <s v="Loss"/>
    <n v="0"/>
    <n v="0"/>
    <n v="0"/>
    <m/>
  </r>
  <r>
    <x v="0"/>
    <s v="Berlin"/>
    <x v="5"/>
    <s v="25_BE_G27"/>
    <x v="26"/>
    <n v="4"/>
    <n v="0"/>
    <n v="4"/>
    <s v="Kleio Thessaloniki"/>
    <s v="0-4"/>
    <n v="0"/>
    <n v="4"/>
    <n v="1"/>
    <x v="1"/>
    <s v="Qualifier Placement"/>
    <s v="Win"/>
    <n v="3"/>
    <n v="3"/>
    <n v="1.5"/>
    <m/>
  </r>
  <r>
    <x v="0"/>
    <s v="Berlin"/>
    <x v="8"/>
    <s v="25_BE_G28"/>
    <x v="27"/>
    <n v="6"/>
    <n v="3"/>
    <n v="3"/>
    <s v="FIFH Malmo"/>
    <s v="6-3"/>
    <n v="6"/>
    <n v="3"/>
    <n v="1"/>
    <x v="3"/>
    <s v="Qualifier QF/SF/Medal in OT or Extra Throws"/>
    <s v="Win"/>
    <n v="3"/>
    <n v="3"/>
    <n v="1.5"/>
    <m/>
  </r>
  <r>
    <x v="0"/>
    <s v="Berlin"/>
    <x v="2"/>
    <s v="25_BE_G28"/>
    <x v="27"/>
    <n v="3"/>
    <n v="6"/>
    <n v="-3"/>
    <s v="FIFH Malmo"/>
    <s v="6-3"/>
    <n v="6"/>
    <n v="3"/>
    <n v="1"/>
    <x v="3"/>
    <s v="Qualifier QF/SF/Medal in OT or Extra Throws"/>
    <s v="Loss"/>
    <n v="1.5"/>
    <n v="1.5"/>
    <n v="0.75"/>
    <m/>
  </r>
  <r>
    <x v="0"/>
    <s v="Berlin"/>
    <x v="6"/>
    <s v="25_BE_G29"/>
    <x v="28"/>
    <n v="4"/>
    <n v="1"/>
    <n v="3"/>
    <s v="Füchse Berlin"/>
    <s v="4-1"/>
    <n v="4"/>
    <n v="1"/>
    <n v="1"/>
    <x v="3"/>
    <s v="Qualifier QF/SF/Medal"/>
    <s v="Win"/>
    <n v="4.5"/>
    <n v="4.5"/>
    <n v="2.25"/>
    <m/>
  </r>
  <r>
    <x v="0"/>
    <s v="Berlin"/>
    <x v="9"/>
    <s v="25_BE_G29"/>
    <x v="28"/>
    <n v="1"/>
    <n v="4"/>
    <n v="-3"/>
    <s v="Füchse Berlin"/>
    <s v="4-1"/>
    <n v="4"/>
    <n v="1"/>
    <n v="1"/>
    <x v="3"/>
    <s v="Qualifier QF/SF/Medal"/>
    <s v="Loss"/>
    <n v="0"/>
    <n v="0"/>
    <n v="0"/>
    <m/>
  </r>
  <r>
    <x v="1"/>
    <s v="Rostock"/>
    <x v="8"/>
    <s v="26_RS_G01"/>
    <x v="29"/>
    <n v="9"/>
    <n v="4"/>
    <n v="5"/>
    <s v="FIFH Malmo"/>
    <s v="9-4"/>
    <n v="9"/>
    <n v="4"/>
    <n v="1"/>
    <x v="0"/>
    <s v="Qualifier Group Stage"/>
    <s v="Win"/>
    <n v="3"/>
    <m/>
    <n v="3"/>
    <n v="1.5"/>
  </r>
  <r>
    <x v="1"/>
    <s v="Rostock"/>
    <x v="3"/>
    <s v="26_RS_G01"/>
    <x v="29"/>
    <n v="4"/>
    <n v="9"/>
    <n v="-5"/>
    <s v="FIFH Malmo"/>
    <s v="9-4"/>
    <n v="9"/>
    <n v="4"/>
    <n v="1"/>
    <x v="0"/>
    <s v="Qualifier Group Stage"/>
    <s v="Loss"/>
    <n v="0"/>
    <m/>
    <n v="0"/>
    <n v="0"/>
  </r>
  <r>
    <x v="1"/>
    <s v="Rostock"/>
    <x v="9"/>
    <s v="26_RS_G02"/>
    <x v="30"/>
    <n v="3"/>
    <n v="5"/>
    <n v="-2"/>
    <s v="Kahramanmaras"/>
    <s v="3-5"/>
    <n v="3"/>
    <n v="5"/>
    <n v="1"/>
    <x v="0"/>
    <s v="Qualifier Group Stage"/>
    <s v="Loss"/>
    <n v="0"/>
    <m/>
    <n v="0"/>
    <n v="0"/>
  </r>
  <r>
    <x v="1"/>
    <s v="Rostock"/>
    <x v="2"/>
    <s v="26_RS_G02"/>
    <x v="30"/>
    <n v="5"/>
    <n v="3"/>
    <n v="2"/>
    <s v="Kahramanmaras"/>
    <s v="3-5"/>
    <n v="3"/>
    <n v="5"/>
    <n v="1"/>
    <x v="0"/>
    <s v="Qualifier Group Stage"/>
    <s v="Win"/>
    <n v="3"/>
    <m/>
    <n v="3"/>
    <n v="1.5"/>
  </r>
  <r>
    <x v="1"/>
    <s v="Rostock"/>
    <x v="6"/>
    <s v="26_RS_G03"/>
    <x v="31"/>
    <n v="6"/>
    <n v="8"/>
    <n v="-2"/>
    <s v="Füchse Berlin"/>
    <s v="6-8"/>
    <n v="6"/>
    <n v="8"/>
    <n v="1"/>
    <x v="0"/>
    <s v="Qualifier Group Stage"/>
    <s v="Loss"/>
    <n v="0"/>
    <m/>
    <n v="0"/>
    <n v="0"/>
  </r>
  <r>
    <x v="1"/>
    <s v="Rostock"/>
    <x v="10"/>
    <s v="26_RS_G03"/>
    <x v="31"/>
    <n v="8"/>
    <n v="6"/>
    <n v="2"/>
    <s v="Füchse Berlin"/>
    <s v="6-8"/>
    <n v="6"/>
    <n v="8"/>
    <n v="1"/>
    <x v="0"/>
    <s v="Qualifier Group Stage"/>
    <s v="Win"/>
    <n v="3"/>
    <m/>
    <n v="3"/>
    <n v="1.5"/>
  </r>
  <r>
    <x v="1"/>
    <s v="Rostock"/>
    <x v="1"/>
    <s v="26_RS_G04"/>
    <x v="32"/>
    <n v="8"/>
    <n v="5"/>
    <n v="3"/>
    <s v="Old Power"/>
    <s v="8-5"/>
    <n v="8"/>
    <n v="5"/>
    <n v="1"/>
    <x v="0"/>
    <s v="Qualifier Group Stage"/>
    <s v="Win"/>
    <n v="3"/>
    <m/>
    <n v="3"/>
    <n v="1.5"/>
  </r>
  <r>
    <x v="1"/>
    <s v="Rostock"/>
    <x v="0"/>
    <s v="26_RS_G04"/>
    <x v="32"/>
    <n v="5"/>
    <n v="8"/>
    <n v="-3"/>
    <s v="Old Power"/>
    <s v="8-5"/>
    <n v="8"/>
    <n v="5"/>
    <n v="1"/>
    <x v="0"/>
    <s v="Qualifier Group Stage"/>
    <s v="Loss"/>
    <n v="0"/>
    <m/>
    <n v="0"/>
    <n v="0"/>
  </r>
  <r>
    <x v="1"/>
    <s v="Rostock"/>
    <x v="2"/>
    <s v="26_RS_G05"/>
    <x v="33"/>
    <n v="7"/>
    <n v="4"/>
    <n v="3"/>
    <s v="RGC Hansa"/>
    <s v="7-4"/>
    <n v="7"/>
    <n v="4"/>
    <n v="1"/>
    <x v="0"/>
    <s v="Qualifier Group Stage"/>
    <s v="Win"/>
    <n v="3"/>
    <m/>
    <n v="3"/>
    <n v="1.5"/>
  </r>
  <r>
    <x v="1"/>
    <s v="Rostock"/>
    <x v="8"/>
    <s v="26_RS_G05"/>
    <x v="33"/>
    <n v="4"/>
    <n v="7"/>
    <n v="-3"/>
    <s v="RGC Hansa"/>
    <s v="7-4"/>
    <n v="7"/>
    <n v="4"/>
    <n v="1"/>
    <x v="0"/>
    <s v="Qualifier Group Stage"/>
    <s v="Loss"/>
    <n v="0"/>
    <m/>
    <n v="0"/>
    <n v="0"/>
  </r>
  <r>
    <x v="1"/>
    <s v="Rostock"/>
    <x v="3"/>
    <s v="26_RS_G06"/>
    <x v="34"/>
    <n v="2"/>
    <n v="7"/>
    <n v="-5"/>
    <s v="GC Golden Flash"/>
    <s v="2-7"/>
    <n v="2"/>
    <n v="7"/>
    <n v="1"/>
    <x v="0"/>
    <s v="Qualifier Group Stage"/>
    <s v="Loss"/>
    <n v="0"/>
    <m/>
    <n v="0"/>
    <n v="0"/>
  </r>
  <r>
    <x v="1"/>
    <s v="Rostock"/>
    <x v="9"/>
    <s v="26_RS_G06"/>
    <x v="34"/>
    <n v="7"/>
    <n v="2"/>
    <n v="5"/>
    <s v="GC Golden Flash"/>
    <s v="2-7"/>
    <n v="2"/>
    <n v="7"/>
    <n v="1"/>
    <x v="0"/>
    <s v="Qualifier Group Stage"/>
    <s v="Win"/>
    <n v="3"/>
    <m/>
    <n v="3"/>
    <n v="1.5"/>
  </r>
  <r>
    <x v="1"/>
    <s v="Rostock"/>
    <x v="0"/>
    <s v="26_RS_G07"/>
    <x v="35"/>
    <n v="8"/>
    <n v="3"/>
    <n v="5"/>
    <s v="USV Hercules"/>
    <s v="8-3"/>
    <n v="8"/>
    <n v="3"/>
    <n v="1"/>
    <x v="0"/>
    <s v="Qualifier Group Stage"/>
    <s v="Win"/>
    <n v="3"/>
    <m/>
    <n v="3"/>
    <n v="1.5"/>
  </r>
  <r>
    <x v="1"/>
    <s v="Rostock"/>
    <x v="6"/>
    <s v="26_RS_G07"/>
    <x v="35"/>
    <n v="3"/>
    <n v="8"/>
    <n v="-5"/>
    <s v="USV Hercules"/>
    <s v="8-3"/>
    <n v="8"/>
    <n v="3"/>
    <n v="1"/>
    <x v="0"/>
    <s v="Qualifier Group Stage"/>
    <s v="Loss"/>
    <n v="0"/>
    <m/>
    <n v="0"/>
    <n v="0"/>
  </r>
  <r>
    <x v="1"/>
    <s v="Rostock"/>
    <x v="10"/>
    <s v="26_RS_G08"/>
    <x v="36"/>
    <n v="5"/>
    <n v="10"/>
    <n v="-5"/>
    <s v="Isparta"/>
    <s v="5-10"/>
    <n v="5"/>
    <n v="10"/>
    <n v="1"/>
    <x v="0"/>
    <s v="Qualifier Group Stage"/>
    <s v="Loss"/>
    <n v="0"/>
    <m/>
    <n v="0"/>
    <n v="0"/>
  </r>
  <r>
    <x v="1"/>
    <s v="Rostock"/>
    <x v="1"/>
    <s v="26_RS_G08"/>
    <x v="36"/>
    <n v="10"/>
    <n v="5"/>
    <n v="5"/>
    <s v="Isparta"/>
    <s v="5-10"/>
    <n v="5"/>
    <n v="10"/>
    <n v="1"/>
    <x v="0"/>
    <s v="Qualifier Group Stage"/>
    <s v="Win"/>
    <n v="3"/>
    <m/>
    <n v="3"/>
    <n v="1.5"/>
  </r>
  <r>
    <x v="1"/>
    <s v="Rostock"/>
    <x v="2"/>
    <s v="26_RS_G09"/>
    <x v="37"/>
    <n v="4"/>
    <n v="3"/>
    <n v="1"/>
    <s v="RGC Hansa"/>
    <s v="4-3"/>
    <n v="4"/>
    <n v="3"/>
    <n v="1"/>
    <x v="0"/>
    <s v="Qualifier Group Stage"/>
    <s v="Win"/>
    <n v="3"/>
    <m/>
    <n v="3"/>
    <n v="1.5"/>
  </r>
  <r>
    <x v="1"/>
    <s v="Rostock"/>
    <x v="3"/>
    <s v="26_RS_G09"/>
    <x v="37"/>
    <n v="3"/>
    <n v="4"/>
    <n v="-1"/>
    <s v="RGC Hansa"/>
    <s v="4-3"/>
    <n v="4"/>
    <n v="3"/>
    <n v="1"/>
    <x v="0"/>
    <s v="Qualifier Group Stage"/>
    <s v="Loss"/>
    <n v="0"/>
    <m/>
    <n v="0"/>
    <n v="0"/>
  </r>
  <r>
    <x v="1"/>
    <s v="Rostock"/>
    <x v="8"/>
    <s v="26_RS_G10"/>
    <x v="38"/>
    <n v="5"/>
    <n v="9"/>
    <n v="-4"/>
    <s v="FIFH Malmo"/>
    <s v="5-9"/>
    <n v="5"/>
    <n v="9"/>
    <n v="1"/>
    <x v="0"/>
    <s v="Qualifier Group Stage"/>
    <s v="Loss"/>
    <n v="0"/>
    <m/>
    <n v="0"/>
    <n v="0"/>
  </r>
  <r>
    <x v="1"/>
    <s v="Rostock"/>
    <x v="9"/>
    <s v="26_RS_G10"/>
    <x v="38"/>
    <n v="9"/>
    <n v="5"/>
    <n v="4"/>
    <s v="FIFH Malmo"/>
    <s v="5-9"/>
    <n v="5"/>
    <n v="9"/>
    <n v="1"/>
    <x v="0"/>
    <s v="Qualifier Group Stage"/>
    <s v="Win"/>
    <n v="3"/>
    <m/>
    <n v="3"/>
    <n v="1.5"/>
  </r>
  <r>
    <x v="1"/>
    <s v="Rostock"/>
    <x v="0"/>
    <s v="26_RS_G11"/>
    <x v="39"/>
    <n v="4"/>
    <n v="5"/>
    <n v="-1"/>
    <s v="USV Hercules"/>
    <s v="4-5"/>
    <n v="4"/>
    <n v="5"/>
    <n v="1"/>
    <x v="0"/>
    <s v="Qualifier Group Stage"/>
    <s v="Loss"/>
    <n v="0"/>
    <m/>
    <n v="0"/>
    <n v="0"/>
  </r>
  <r>
    <x v="1"/>
    <s v="Rostock"/>
    <x v="10"/>
    <s v="26_RS_G11"/>
    <x v="39"/>
    <n v="5"/>
    <n v="4"/>
    <n v="1"/>
    <s v="USV Hercules"/>
    <s v="4-5"/>
    <n v="4"/>
    <n v="5"/>
    <n v="1"/>
    <x v="0"/>
    <s v="Qualifier Group Stage"/>
    <s v="Win"/>
    <n v="3"/>
    <m/>
    <n v="3"/>
    <n v="1.5"/>
  </r>
  <r>
    <x v="1"/>
    <s v="Rostock"/>
    <x v="6"/>
    <s v="26_RS_G12"/>
    <x v="40"/>
    <n v="0"/>
    <n v="10"/>
    <n v="-10"/>
    <s v="Füchse Berlin"/>
    <s v="0-10"/>
    <n v="0"/>
    <n v="10"/>
    <n v="1"/>
    <x v="0"/>
    <s v="Qualifier Group Stage"/>
    <s v="Loss"/>
    <n v="0"/>
    <m/>
    <n v="0"/>
    <n v="0"/>
  </r>
  <r>
    <x v="1"/>
    <s v="Rostock"/>
    <x v="1"/>
    <s v="26_RS_G12"/>
    <x v="40"/>
    <n v="10"/>
    <n v="0"/>
    <n v="10"/>
    <s v="Füchse Berlin"/>
    <s v="0-10"/>
    <n v="0"/>
    <n v="10"/>
    <n v="1"/>
    <x v="0"/>
    <s v="Qualifier Group Stage"/>
    <s v="Win"/>
    <n v="3"/>
    <m/>
    <n v="3"/>
    <n v="1.5"/>
  </r>
  <r>
    <x v="1"/>
    <s v="Rostock"/>
    <x v="2"/>
    <s v="26_RS_G13"/>
    <x v="41"/>
    <n v="11"/>
    <n v="1"/>
    <n v="10"/>
    <s v="RGC Hansa"/>
    <s v="11-1"/>
    <n v="11"/>
    <n v="1"/>
    <n v="1"/>
    <x v="4"/>
    <s v="Qualifier QF/SF/Medal"/>
    <s v="Win"/>
    <n v="4.5"/>
    <m/>
    <n v="4.5"/>
    <n v="2.25"/>
  </r>
  <r>
    <x v="1"/>
    <s v="Rostock"/>
    <x v="6"/>
    <s v="26_RS_G13"/>
    <x v="41"/>
    <n v="1"/>
    <n v="11"/>
    <n v="-10"/>
    <s v="RGC Hansa"/>
    <s v="11-1"/>
    <n v="11"/>
    <n v="1"/>
    <n v="1"/>
    <x v="4"/>
    <s v="Qualifier QF/SF/Medal"/>
    <s v="Loss"/>
    <n v="0"/>
    <m/>
    <n v="0"/>
    <n v="0"/>
  </r>
  <r>
    <x v="1"/>
    <s v="Rostock"/>
    <x v="10"/>
    <s v="26_RS_G14"/>
    <x v="42"/>
    <n v="1"/>
    <n v="6"/>
    <n v="-5"/>
    <s v="Isparta"/>
    <s v="1-6"/>
    <n v="1"/>
    <n v="6"/>
    <n v="1"/>
    <x v="4"/>
    <s v="Qualifier QF/SF/Medal"/>
    <s v="Loss"/>
    <n v="0"/>
    <m/>
    <n v="0"/>
    <n v="0"/>
  </r>
  <r>
    <x v="1"/>
    <s v="Rostock"/>
    <x v="8"/>
    <s v="26_RS_G14"/>
    <x v="42"/>
    <n v="6"/>
    <n v="1"/>
    <n v="5"/>
    <s v="Isparta"/>
    <s v="1-6"/>
    <n v="1"/>
    <n v="6"/>
    <n v="1"/>
    <x v="4"/>
    <s v="Qualifier QF/SF/Medal"/>
    <s v="Win"/>
    <n v="4.5"/>
    <m/>
    <n v="4.5"/>
    <n v="2.25"/>
  </r>
  <r>
    <x v="1"/>
    <s v="Rostock"/>
    <x v="1"/>
    <s v="26_RS_G15"/>
    <x v="43"/>
    <n v="9"/>
    <n v="4"/>
    <n v="5"/>
    <s v="Old Power"/>
    <s v="9-4"/>
    <n v="9"/>
    <n v="4"/>
    <n v="1"/>
    <x v="4"/>
    <s v="Qualifier QF/SF/Medal"/>
    <s v="Win"/>
    <n v="4.5"/>
    <m/>
    <n v="4.5"/>
    <n v="2.25"/>
  </r>
  <r>
    <x v="1"/>
    <s v="Rostock"/>
    <x v="3"/>
    <s v="26_RS_G15"/>
    <x v="43"/>
    <n v="4"/>
    <n v="9"/>
    <n v="-5"/>
    <s v="Old Power"/>
    <s v="9-4"/>
    <n v="9"/>
    <n v="4"/>
    <n v="1"/>
    <x v="4"/>
    <s v="Qualifier QF/SF/Medal"/>
    <s v="Loss"/>
    <n v="0"/>
    <m/>
    <n v="0"/>
    <n v="0"/>
  </r>
  <r>
    <x v="1"/>
    <s v="Rostock"/>
    <x v="9"/>
    <s v="26_RS_G16"/>
    <x v="44"/>
    <n v="14"/>
    <n v="6"/>
    <n v="8"/>
    <s v="Kahramanmaras"/>
    <s v="14-6"/>
    <n v="14"/>
    <n v="6"/>
    <n v="1"/>
    <x v="4"/>
    <s v="Qualifier QF/SF/Medal"/>
    <s v="Win"/>
    <n v="4.5"/>
    <m/>
    <n v="4.5"/>
    <n v="2.25"/>
  </r>
  <r>
    <x v="1"/>
    <s v="Rostock"/>
    <x v="0"/>
    <s v="26_RS_G16"/>
    <x v="44"/>
    <n v="6"/>
    <n v="14"/>
    <n v="-8"/>
    <s v="Kahramanmaras"/>
    <s v="14-6"/>
    <n v="14"/>
    <n v="6"/>
    <n v="1"/>
    <x v="4"/>
    <s v="Qualifier QF/SF/Medal"/>
    <s v="Loss"/>
    <n v="0"/>
    <m/>
    <n v="0"/>
    <n v="0"/>
  </r>
  <r>
    <x v="1"/>
    <s v="Rostock"/>
    <x v="10"/>
    <s v="26_RS_G17"/>
    <x v="45"/>
    <n v="3"/>
    <n v="9"/>
    <n v="-6"/>
    <s v="Isparta"/>
    <s v="3-9"/>
    <n v="3"/>
    <n v="9"/>
    <n v="1"/>
    <x v="1"/>
    <s v="Qualifier Placement"/>
    <s v="Loss"/>
    <n v="0"/>
    <m/>
    <n v="0"/>
    <n v="0"/>
  </r>
  <r>
    <x v="1"/>
    <s v="Rostock"/>
    <x v="6"/>
    <s v="26_RS_G17"/>
    <x v="45"/>
    <n v="9"/>
    <n v="3"/>
    <n v="6"/>
    <s v="Isparta"/>
    <s v="3-9"/>
    <n v="3"/>
    <n v="9"/>
    <n v="1"/>
    <x v="1"/>
    <s v="Qualifier Placement"/>
    <s v="Win"/>
    <n v="3"/>
    <m/>
    <n v="3"/>
    <n v="1.5"/>
  </r>
  <r>
    <x v="1"/>
    <s v="Rostock"/>
    <x v="0"/>
    <s v="26_RS_G18"/>
    <x v="46"/>
    <n v="0"/>
    <n v="3"/>
    <n v="-3"/>
    <s v="USV Hercules"/>
    <s v="0-3"/>
    <n v="0"/>
    <n v="3"/>
    <n v="1"/>
    <x v="1"/>
    <s v="Qualifier Placement"/>
    <s v="Loss"/>
    <n v="0"/>
    <m/>
    <n v="0"/>
    <n v="0"/>
  </r>
  <r>
    <x v="1"/>
    <s v="Rostock"/>
    <x v="3"/>
    <s v="26_RS_G18"/>
    <x v="46"/>
    <n v="3"/>
    <n v="0"/>
    <n v="3"/>
    <s v="USV Hercules"/>
    <s v="0-3"/>
    <n v="0"/>
    <n v="3"/>
    <n v="1"/>
    <x v="1"/>
    <s v="Qualifier Placement"/>
    <s v="Win"/>
    <n v="3"/>
    <m/>
    <n v="3"/>
    <n v="1.5"/>
  </r>
  <r>
    <x v="1"/>
    <s v="Rostock"/>
    <x v="1"/>
    <s v="26_RS_G19"/>
    <x v="47"/>
    <n v="3"/>
    <n v="1"/>
    <n v="2"/>
    <s v="Old Power"/>
    <s v="3-1"/>
    <n v="3"/>
    <n v="1"/>
    <n v="1"/>
    <x v="2"/>
    <s v="Qualifier QF/SF/Medal"/>
    <s v="Win"/>
    <n v="4.5"/>
    <m/>
    <n v="4.5"/>
    <n v="2.25"/>
  </r>
  <r>
    <x v="1"/>
    <s v="Rostock"/>
    <x v="8"/>
    <s v="26_RS_G19"/>
    <x v="47"/>
    <n v="1"/>
    <n v="3"/>
    <n v="-2"/>
    <s v="Old Power"/>
    <s v="3-1"/>
    <n v="3"/>
    <n v="1"/>
    <n v="1"/>
    <x v="2"/>
    <s v="Qualifier QF/SF/Medal"/>
    <s v="Loss"/>
    <n v="0"/>
    <m/>
    <n v="0"/>
    <n v="0"/>
  </r>
  <r>
    <x v="1"/>
    <s v="Rostock"/>
    <x v="2"/>
    <s v="26_RS_G20"/>
    <x v="48"/>
    <n v="4"/>
    <n v="2"/>
    <n v="2"/>
    <s v="RGC Hansa Rostock"/>
    <s v="2-4"/>
    <n v="2"/>
    <n v="4"/>
    <n v="1"/>
    <x v="2"/>
    <s v="Qualifier QF/SF/Medal"/>
    <s v="Loss"/>
    <n v="0"/>
    <m/>
    <n v="0"/>
    <n v="0"/>
  </r>
  <r>
    <x v="1"/>
    <s v="Rostock"/>
    <x v="9"/>
    <s v="26_RS_G20"/>
    <x v="48"/>
    <n v="4"/>
    <n v="2"/>
    <n v="2"/>
    <s v="RGC Hansa Rostock"/>
    <s v="2-4"/>
    <n v="2"/>
    <n v="4"/>
    <n v="1"/>
    <x v="2"/>
    <s v="Qualifier QF/SF/Medal"/>
    <s v="Win"/>
    <n v="4.5"/>
    <m/>
    <n v="4.5"/>
    <n v="2.25"/>
  </r>
  <r>
    <x v="1"/>
    <s v="Rostock"/>
    <x v="10"/>
    <s v="26_RS_G21"/>
    <x v="49"/>
    <n v="1"/>
    <n v="11"/>
    <n v="-10"/>
    <s v="Isparta"/>
    <s v="1-11"/>
    <n v="1"/>
    <n v="11"/>
    <n v="1"/>
    <x v="1"/>
    <s v="Qualifier Placement"/>
    <s v="Loss"/>
    <n v="0"/>
    <m/>
    <n v="0"/>
    <n v="0"/>
  </r>
  <r>
    <x v="1"/>
    <s v="Rostock"/>
    <x v="0"/>
    <s v="26_RS_G21"/>
    <x v="49"/>
    <n v="11"/>
    <n v="1"/>
    <n v="10"/>
    <s v="Isparta"/>
    <s v="1-11"/>
    <n v="1"/>
    <n v="11"/>
    <n v="1"/>
    <x v="1"/>
    <s v="Qualifier Placement"/>
    <s v="Win"/>
    <n v="3"/>
    <m/>
    <n v="3"/>
    <n v="1.5"/>
  </r>
  <r>
    <x v="1"/>
    <s v="Rostock"/>
    <x v="6"/>
    <s v="26_RS_G22"/>
    <x v="50"/>
    <n v="7"/>
    <n v="4"/>
    <n v="3"/>
    <s v="Füchse Berlin"/>
    <s v="7-4"/>
    <n v="7"/>
    <n v="4"/>
    <n v="1"/>
    <x v="1"/>
    <s v="Qualifier Placement"/>
    <s v="Win"/>
    <n v="3"/>
    <m/>
    <n v="3"/>
    <n v="1.5"/>
  </r>
  <r>
    <x v="1"/>
    <s v="Rostock"/>
    <x v="3"/>
    <s v="26_RS_G22"/>
    <x v="50"/>
    <n v="4"/>
    <n v="7"/>
    <n v="-3"/>
    <s v="Füchse Berlin"/>
    <s v="7-4"/>
    <n v="7"/>
    <n v="4"/>
    <n v="1"/>
    <x v="1"/>
    <s v="Qualifier Placement"/>
    <s v="Loss"/>
    <n v="0"/>
    <m/>
    <n v="0"/>
    <n v="0"/>
  </r>
  <r>
    <x v="1"/>
    <s v="Rostock"/>
    <x v="8"/>
    <s v="26_RS_G23"/>
    <x v="51"/>
    <n v="4"/>
    <n v="6"/>
    <n v="-2"/>
    <s v="FIFH Malmo"/>
    <s v="4-6"/>
    <n v="4"/>
    <n v="6"/>
    <n v="1"/>
    <x v="3"/>
    <s v="Qualifier QF/SF/Medal"/>
    <s v="Loss"/>
    <n v="0"/>
    <m/>
    <n v="0"/>
    <n v="0"/>
  </r>
  <r>
    <x v="1"/>
    <s v="Rostock"/>
    <x v="2"/>
    <s v="26_RS_G23"/>
    <x v="51"/>
    <n v="6"/>
    <n v="4"/>
    <n v="2"/>
    <s v="FIFH Malmo"/>
    <s v="4-6"/>
    <n v="4"/>
    <n v="6"/>
    <n v="1"/>
    <x v="3"/>
    <s v="Qualifier QF/SF/Medal"/>
    <s v="Win"/>
    <n v="4.5"/>
    <m/>
    <n v="4.5"/>
    <n v="2.25"/>
  </r>
  <r>
    <x v="1"/>
    <s v="Rostock"/>
    <x v="1"/>
    <s v="26_RS_G24"/>
    <x v="52"/>
    <n v="2"/>
    <n v="1"/>
    <n v="1"/>
    <s v="Old Power"/>
    <s v="2-1"/>
    <n v="2"/>
    <n v="1"/>
    <n v="1"/>
    <x v="3"/>
    <s v="Qualifier QF/SF/Medal"/>
    <s v="Win"/>
    <n v="4.5"/>
    <m/>
    <n v="4.5"/>
    <n v="2.25"/>
  </r>
  <r>
    <x v="1"/>
    <s v="Rostock"/>
    <x v="9"/>
    <s v="26_RS_G24"/>
    <x v="52"/>
    <n v="1"/>
    <n v="2"/>
    <n v="-1"/>
    <s v="Old Power"/>
    <s v="2-1"/>
    <n v="2"/>
    <n v="1"/>
    <n v="1"/>
    <x v="3"/>
    <s v="Qualifier QF/SF/Medal"/>
    <s v="Loss"/>
    <n v="0"/>
    <m/>
    <n v="0"/>
    <n v="0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s v=""/>
    <s v=""/>
    <m/>
    <m/>
    <m/>
    <m/>
    <m/>
    <m/>
    <x v="5"/>
    <m/>
    <m/>
    <s v=""/>
    <m/>
    <s v=""/>
    <e v="#VALUE!"/>
  </r>
  <r>
    <x v="2"/>
    <m/>
    <x v="11"/>
    <m/>
    <x v="53"/>
    <m/>
    <m/>
    <m/>
    <m/>
    <m/>
    <m/>
    <m/>
    <m/>
    <x v="5"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">
  <r>
    <s v="2025 EWCL"/>
    <s v="Berlin"/>
    <x v="0"/>
    <s v="25_BE_G01"/>
    <s v="USV Hercules – Old Power 8-14"/>
    <n v="8"/>
    <n v="14"/>
    <n v="-6"/>
    <s v="USV Hercules"/>
    <s v="8-14"/>
    <n v="8"/>
    <n v="14"/>
    <n v="1"/>
    <s v="Group"/>
    <s v="Qualifier Group Stage"/>
    <s v="Loss"/>
    <n v="0"/>
    <n v="0"/>
    <n v="0"/>
    <m/>
    <n v="-6.0000000000000001E-3"/>
  </r>
  <r>
    <s v="2025 EWCL"/>
    <s v="Berlin"/>
    <x v="1"/>
    <s v="25_BE_G01"/>
    <s v="USV Hercules – Old Power 8-14"/>
    <n v="14"/>
    <n v="8"/>
    <n v="6"/>
    <s v="USV Hercules"/>
    <s v="8-14"/>
    <n v="8"/>
    <n v="14"/>
    <n v="1"/>
    <s v="Group"/>
    <s v="Qualifier Group Stage"/>
    <s v="Win"/>
    <n v="3"/>
    <n v="3"/>
    <n v="1.5"/>
    <m/>
    <n v="1.506"/>
  </r>
  <r>
    <s v="2025 EWCL"/>
    <s v="Berlin"/>
    <x v="2"/>
    <s v="25_BE_G02"/>
    <s v="RGC Hansa – GC Golden Flash 4-1"/>
    <n v="4"/>
    <n v="1"/>
    <n v="3"/>
    <s v="RGC Hansa"/>
    <s v="4-1"/>
    <n v="4"/>
    <n v="1"/>
    <n v="1"/>
    <s v="Group"/>
    <s v="Qualifier Group Stage"/>
    <s v="Win"/>
    <n v="3"/>
    <n v="3"/>
    <n v="1.5"/>
    <m/>
    <n v="1.5029999999999999"/>
  </r>
  <r>
    <s v="2025 EWCL"/>
    <s v="Berlin"/>
    <x v="3"/>
    <s v="25_BE_G02"/>
    <s v="RGC Hansa – GC Golden Flash 4-1"/>
    <n v="1"/>
    <n v="4"/>
    <n v="-3"/>
    <s v="RGC Hansa"/>
    <s v="4-1"/>
    <n v="4"/>
    <n v="1"/>
    <n v="1"/>
    <s v="Group"/>
    <s v="Qualifier Group Stage"/>
    <s v="Loss"/>
    <n v="0"/>
    <n v="0"/>
    <n v="0"/>
    <m/>
    <n v="-3.0000000000000001E-3"/>
  </r>
  <r>
    <s v="2025 EWCL"/>
    <s v="Berlin"/>
    <x v="4"/>
    <s v="25_BE_G03"/>
    <s v="CSAVH Lyon – Näpäjä 5-12"/>
    <n v="5"/>
    <n v="12"/>
    <n v="-7"/>
    <s v="CSAVH Lyon"/>
    <s v="5-12"/>
    <n v="5"/>
    <n v="12"/>
    <n v="1"/>
    <s v="Group"/>
    <s v="Qualifier Group Stage"/>
    <s v="Loss"/>
    <n v="0"/>
    <n v="0"/>
    <n v="0"/>
    <m/>
    <n v="-7.0000000000000001E-3"/>
  </r>
  <r>
    <s v="2025 EWCL"/>
    <s v="Berlin"/>
    <x v="5"/>
    <s v="25_BE_G03"/>
    <s v="CSAVH Lyon – Näpäjä 5-12"/>
    <n v="12"/>
    <n v="5"/>
    <n v="7"/>
    <s v="CSAVH Lyon"/>
    <s v="5-12"/>
    <n v="5"/>
    <n v="12"/>
    <n v="1"/>
    <s v="Group"/>
    <s v="Qualifier Group Stage"/>
    <s v="Win"/>
    <n v="3"/>
    <n v="3"/>
    <n v="1.5"/>
    <m/>
    <n v="1.5069999999999999"/>
  </r>
  <r>
    <s v="2025 EWCL"/>
    <s v="Berlin"/>
    <x v="6"/>
    <s v="25_BE_G04"/>
    <s v="Füchse Berlin – Kleio Thessaloniki 8-1"/>
    <n v="8"/>
    <n v="1"/>
    <n v="7"/>
    <s v="Füchse Berlin"/>
    <s v="8-1"/>
    <n v="8"/>
    <n v="1"/>
    <n v="1"/>
    <s v="Group"/>
    <s v="Qualifier Group Stage"/>
    <s v="Win"/>
    <n v="3"/>
    <n v="3"/>
    <n v="1.5"/>
    <m/>
    <n v="1.5069999999999999"/>
  </r>
  <r>
    <s v="2025 EWCL"/>
    <s v="Berlin"/>
    <x v="7"/>
    <s v="25_BE_G04"/>
    <s v="Füchse Berlin – Kleio Thessaloniki 8-1"/>
    <n v="1"/>
    <n v="8"/>
    <n v="-7"/>
    <s v="Füchse Berlin"/>
    <s v="8-1"/>
    <n v="8"/>
    <n v="1"/>
    <n v="1"/>
    <s v="Group"/>
    <s v="Qualifier Group Stage"/>
    <s v="Loss"/>
    <n v="0"/>
    <n v="0"/>
    <n v="0"/>
    <m/>
    <n v="-7.0000000000000001E-3"/>
  </r>
  <r>
    <s v="2025 EWCL"/>
    <s v="Berlin"/>
    <x v="8"/>
    <s v="25_BE_G05"/>
    <s v="FIFH Malmo – USV Hercules 8-6"/>
    <n v="8"/>
    <n v="6"/>
    <n v="2"/>
    <s v="FIFH Malmo"/>
    <s v="8-6"/>
    <n v="8"/>
    <n v="6"/>
    <n v="1"/>
    <s v="Group"/>
    <s v="Qualifier Group Stage"/>
    <s v="Win"/>
    <n v="3"/>
    <n v="3"/>
    <n v="1.5"/>
    <m/>
    <n v="1.502"/>
  </r>
  <r>
    <s v="2025 EWCL"/>
    <s v="Berlin"/>
    <x v="0"/>
    <s v="25_BE_G05"/>
    <s v="FIFH Malmo – USV Hercules 8-6"/>
    <n v="6"/>
    <n v="8"/>
    <n v="-2"/>
    <s v="FIFH Malmo"/>
    <s v="8-6"/>
    <n v="8"/>
    <n v="6"/>
    <n v="1"/>
    <s v="Group"/>
    <s v="Qualifier Group Stage"/>
    <s v="Loss"/>
    <n v="0"/>
    <n v="0"/>
    <n v="0"/>
    <m/>
    <n v="-2E-3"/>
  </r>
  <r>
    <s v="2025 EWCL"/>
    <s v="Berlin"/>
    <x v="1"/>
    <s v="25_BE_G06"/>
    <s v="Old Power – RGC Hansa 2-3"/>
    <n v="2"/>
    <n v="3"/>
    <n v="-1"/>
    <s v="Old Power"/>
    <s v="2-3"/>
    <n v="2"/>
    <n v="3"/>
    <n v="1"/>
    <s v="Group"/>
    <s v="Qualifier Group Stage"/>
    <s v="Loss"/>
    <n v="0"/>
    <n v="0"/>
    <n v="0"/>
    <m/>
    <n v="-1E-3"/>
  </r>
  <r>
    <s v="2025 EWCL"/>
    <s v="Berlin"/>
    <x v="2"/>
    <s v="25_BE_G06"/>
    <s v="Old Power – RGC Hansa 2-3"/>
    <n v="3"/>
    <n v="2"/>
    <n v="1"/>
    <s v="Old Power"/>
    <s v="2-3"/>
    <n v="2"/>
    <n v="3"/>
    <n v="1"/>
    <s v="Group"/>
    <s v="Qualifier Group Stage"/>
    <s v="Win"/>
    <n v="3"/>
    <n v="3"/>
    <n v="1.5"/>
    <m/>
    <n v="1.5009999999999999"/>
  </r>
  <r>
    <s v="2025 EWCL"/>
    <s v="Berlin"/>
    <x v="9"/>
    <s v="25_BE_G07"/>
    <s v="Kahramanmaras – CSAVH Lyon 12-2"/>
    <n v="12"/>
    <n v="2"/>
    <n v="10"/>
    <s v="Kahramanmaras"/>
    <s v="12-2"/>
    <n v="12"/>
    <n v="2"/>
    <n v="1"/>
    <s v="Group"/>
    <s v="Qualifier Group Stage"/>
    <s v="Win"/>
    <n v="3"/>
    <n v="3"/>
    <n v="1.5"/>
    <m/>
    <n v="1.51"/>
  </r>
  <r>
    <s v="2025 EWCL"/>
    <s v="Berlin"/>
    <x v="4"/>
    <s v="25_BE_G07"/>
    <s v="Kahramanmaras – CSAVH Lyon 12-2"/>
    <n v="2"/>
    <n v="12"/>
    <n v="-10"/>
    <s v="Kahramanmaras"/>
    <s v="12-2"/>
    <n v="12"/>
    <n v="2"/>
    <n v="1"/>
    <s v="Group"/>
    <s v="Qualifier Group Stage"/>
    <s v="Loss"/>
    <n v="0"/>
    <n v="0"/>
    <n v="0"/>
    <m/>
    <n v="-0.01"/>
  </r>
  <r>
    <s v="2025 EWCL"/>
    <s v="Berlin"/>
    <x v="5"/>
    <s v="25_BE_G08"/>
    <s v="Näpäjä – Füchse Berlin 4-11"/>
    <n v="4"/>
    <n v="11"/>
    <n v="-7"/>
    <s v="Näpäjä"/>
    <s v="4-11"/>
    <n v="4"/>
    <n v="11"/>
    <n v="1"/>
    <s v="Group"/>
    <s v="Qualifier Group Stage"/>
    <s v="Loss"/>
    <n v="0"/>
    <n v="0"/>
    <n v="0"/>
    <m/>
    <n v="-7.0000000000000001E-3"/>
  </r>
  <r>
    <s v="2025 EWCL"/>
    <s v="Berlin"/>
    <x v="6"/>
    <s v="25_BE_G08"/>
    <s v="Näpäjä – Füchse Berlin 4-11"/>
    <n v="11"/>
    <n v="4"/>
    <n v="7"/>
    <s v="Näpäjä"/>
    <s v="4-11"/>
    <n v="4"/>
    <n v="11"/>
    <n v="1"/>
    <s v="Group"/>
    <s v="Qualifier Group Stage"/>
    <s v="Win"/>
    <n v="3"/>
    <n v="3"/>
    <n v="1.5"/>
    <m/>
    <n v="1.5069999999999999"/>
  </r>
  <r>
    <s v="2025 EWCL"/>
    <s v="Berlin"/>
    <x v="3"/>
    <s v="25_BE_G09"/>
    <s v="GC Golden Flash – FIFH Malmo 4-5"/>
    <n v="4"/>
    <n v="5"/>
    <n v="-1"/>
    <s v="GC Golden Flash"/>
    <s v="4-5"/>
    <n v="4"/>
    <n v="5"/>
    <n v="1"/>
    <s v="Group"/>
    <s v="Qualifier Group Stage"/>
    <s v="Loss"/>
    <n v="0"/>
    <n v="0"/>
    <n v="0"/>
    <m/>
    <n v="-1E-3"/>
  </r>
  <r>
    <s v="2025 EWCL"/>
    <s v="Berlin"/>
    <x v="8"/>
    <s v="25_BE_G09"/>
    <s v="GC Golden Flash – FIFH Malmo 4-5"/>
    <n v="5"/>
    <n v="4"/>
    <n v="1"/>
    <s v="GC Golden Flash"/>
    <s v="4-5"/>
    <n v="4"/>
    <n v="5"/>
    <n v="1"/>
    <s v="Group"/>
    <s v="Qualifier Group Stage"/>
    <s v="Win"/>
    <n v="3"/>
    <n v="3"/>
    <n v="1.5"/>
    <m/>
    <n v="1.5009999999999999"/>
  </r>
  <r>
    <s v="2025 EWCL"/>
    <s v="Berlin"/>
    <x v="7"/>
    <s v="25_BE_G10"/>
    <s v="Kleio Thessaloniki – Kahramanmaras 0-8"/>
    <n v="0"/>
    <n v="8"/>
    <n v="-8"/>
    <s v="Kleio Thessaloniki"/>
    <s v="0-8"/>
    <n v="0"/>
    <n v="8"/>
    <n v="1"/>
    <s v="Group"/>
    <s v="Qualifier Group Stage"/>
    <s v="Loss"/>
    <n v="0"/>
    <n v="0"/>
    <n v="0"/>
    <m/>
    <n v="-8.0000000000000002E-3"/>
  </r>
  <r>
    <s v="2025 EWCL"/>
    <s v="Berlin"/>
    <x v="9"/>
    <s v="25_BE_G10"/>
    <s v="Kleio Thessaloniki – Kahramanmaras 0-8"/>
    <n v="8"/>
    <n v="0"/>
    <n v="8"/>
    <s v="Kleio Thessaloniki"/>
    <s v="0-8"/>
    <n v="0"/>
    <n v="8"/>
    <n v="1"/>
    <s v="Group"/>
    <s v="Qualifier Group Stage"/>
    <s v="Win"/>
    <n v="3"/>
    <n v="3"/>
    <n v="1.5"/>
    <m/>
    <n v="1.508"/>
  </r>
  <r>
    <s v="2025 EWCL"/>
    <s v="Berlin"/>
    <x v="2"/>
    <s v="25_BE_G11"/>
    <s v="RGC Hansa – USV Hercules 5-5"/>
    <n v="5"/>
    <n v="5"/>
    <n v="0"/>
    <s v="RGC Hansa"/>
    <s v="5-5"/>
    <n v="5"/>
    <n v="5"/>
    <n v="1"/>
    <s v="Group"/>
    <s v="Qualifier Group Stage"/>
    <s v="Draw"/>
    <n v="1"/>
    <n v="1"/>
    <n v="0.5"/>
    <m/>
    <n v="0.5"/>
  </r>
  <r>
    <s v="2025 EWCL"/>
    <s v="Berlin"/>
    <x v="0"/>
    <s v="25_BE_G11"/>
    <s v="RGC Hansa – USV Hercules 5-5"/>
    <n v="5"/>
    <n v="5"/>
    <n v="0"/>
    <s v="RGC Hansa"/>
    <s v="5-5"/>
    <n v="5"/>
    <n v="5"/>
    <n v="1"/>
    <s v="Group"/>
    <s v="Qualifier Group Stage"/>
    <s v="Draw"/>
    <n v="1"/>
    <n v="1"/>
    <n v="0.5"/>
    <m/>
    <n v="0.5"/>
  </r>
  <r>
    <s v="2025 EWCL"/>
    <s v="Berlin"/>
    <x v="1"/>
    <s v="25_BE_G12"/>
    <s v="Old Power – FIFH Malmo 3-4"/>
    <n v="3"/>
    <n v="4"/>
    <n v="-1"/>
    <s v="Old Power"/>
    <s v="3-4"/>
    <n v="3"/>
    <n v="4"/>
    <n v="1"/>
    <s v="Group"/>
    <s v="Qualifier Group Stage"/>
    <s v="Loss"/>
    <n v="0"/>
    <n v="0"/>
    <n v="0"/>
    <m/>
    <n v="-1E-3"/>
  </r>
  <r>
    <s v="2025 EWCL"/>
    <s v="Berlin"/>
    <x v="8"/>
    <s v="25_BE_G12"/>
    <s v="Old Power – FIFH Malmo 3-4"/>
    <n v="4"/>
    <n v="3"/>
    <n v="1"/>
    <s v="Old Power"/>
    <s v="3-4"/>
    <n v="3"/>
    <n v="4"/>
    <n v="1"/>
    <s v="Group"/>
    <s v="Qualifier Group Stage"/>
    <s v="Win"/>
    <n v="3"/>
    <n v="3"/>
    <n v="1.5"/>
    <m/>
    <n v="1.5009999999999999"/>
  </r>
  <r>
    <s v="2025 EWCL"/>
    <s v="Berlin"/>
    <x v="6"/>
    <s v="25_BE_G13"/>
    <s v="Füchse Berlin – CSAVH Lyon 8-2"/>
    <n v="8"/>
    <n v="2"/>
    <n v="6"/>
    <s v="Füchse Berlin"/>
    <s v="8-2"/>
    <n v="8"/>
    <n v="2"/>
    <n v="1"/>
    <s v="Group"/>
    <s v="Qualifier Group Stage"/>
    <s v="Win"/>
    <n v="3"/>
    <n v="3"/>
    <n v="1.5"/>
    <m/>
    <n v="1.506"/>
  </r>
  <r>
    <s v="2025 EWCL"/>
    <s v="Berlin"/>
    <x v="4"/>
    <s v="25_BE_G13"/>
    <s v="Füchse Berlin – CSAVH Lyon 8-2"/>
    <n v="2"/>
    <n v="8"/>
    <n v="-6"/>
    <s v="Füchse Berlin"/>
    <s v="8-2"/>
    <n v="8"/>
    <n v="2"/>
    <n v="1"/>
    <s v="Group"/>
    <s v="Qualifier Group Stage"/>
    <s v="Loss"/>
    <n v="0"/>
    <n v="0"/>
    <n v="0"/>
    <m/>
    <n v="-6.0000000000000001E-3"/>
  </r>
  <r>
    <s v="2025 EWCL"/>
    <s v="Berlin"/>
    <x v="5"/>
    <s v="25_BE_G14"/>
    <s v="Näpäjä – Kahramanmaras 2-8"/>
    <n v="2"/>
    <n v="8"/>
    <n v="-6"/>
    <s v="Näpäjä"/>
    <s v="2-8"/>
    <n v="2"/>
    <n v="8"/>
    <n v="1"/>
    <s v="Group"/>
    <s v="Qualifier Group Stage"/>
    <s v="Loss"/>
    <n v="0"/>
    <n v="0"/>
    <n v="0"/>
    <m/>
    <n v="-6.0000000000000001E-3"/>
  </r>
  <r>
    <s v="2025 EWCL"/>
    <s v="Berlin"/>
    <x v="9"/>
    <s v="25_BE_G14"/>
    <s v="Näpäjä – Kahramanmaras 2-8"/>
    <n v="8"/>
    <n v="2"/>
    <n v="6"/>
    <s v="Näpäjä"/>
    <s v="2-8"/>
    <n v="2"/>
    <n v="8"/>
    <n v="1"/>
    <s v="Group"/>
    <s v="Qualifier Group Stage"/>
    <s v="Win"/>
    <n v="3"/>
    <n v="3"/>
    <n v="1.5"/>
    <m/>
    <n v="1.506"/>
  </r>
  <r>
    <s v="2025 EWCL"/>
    <s v="Berlin"/>
    <x v="0"/>
    <s v="25_BE_G15"/>
    <s v="USV Hercules – GC Golden Flash 4-5"/>
    <n v="4"/>
    <n v="5"/>
    <n v="-1"/>
    <s v="USV Hercules"/>
    <s v="4-5"/>
    <n v="4"/>
    <n v="5"/>
    <n v="1"/>
    <s v="Group"/>
    <s v="Qualifier Group Stage"/>
    <s v="Loss"/>
    <n v="0"/>
    <n v="0"/>
    <n v="0"/>
    <m/>
    <n v="-1E-3"/>
  </r>
  <r>
    <s v="2025 EWCL"/>
    <s v="Berlin"/>
    <x v="3"/>
    <s v="25_BE_G15"/>
    <s v="USV Hercules – GC Golden Flash 4-5"/>
    <n v="5"/>
    <n v="4"/>
    <n v="1"/>
    <s v="USV Hercules"/>
    <s v="4-5"/>
    <n v="4"/>
    <n v="5"/>
    <n v="1"/>
    <s v="Group"/>
    <s v="Qualifier Group Stage"/>
    <s v="Win"/>
    <n v="3"/>
    <n v="3"/>
    <n v="1.5"/>
    <m/>
    <n v="1.5009999999999999"/>
  </r>
  <r>
    <s v="2025 EWCL"/>
    <s v="Berlin"/>
    <x v="8"/>
    <s v="25_BE_G16"/>
    <s v="FIFH Malmo – RGC Hansa 9-2"/>
    <n v="9"/>
    <n v="2"/>
    <n v="7"/>
    <s v="FIFH Malmo"/>
    <s v="9-2"/>
    <n v="9"/>
    <n v="2"/>
    <n v="1"/>
    <s v="Group"/>
    <s v="Qualifier Group Stage"/>
    <s v="Win"/>
    <n v="3"/>
    <n v="3"/>
    <n v="1.5"/>
    <m/>
    <n v="1.5069999999999999"/>
  </r>
  <r>
    <s v="2025 EWCL"/>
    <s v="Berlin"/>
    <x v="2"/>
    <s v="25_BE_G16"/>
    <s v="FIFH Malmo – RGC Hansa 9-2"/>
    <n v="2"/>
    <n v="9"/>
    <n v="-7"/>
    <s v="FIFH Malmo"/>
    <s v="9-2"/>
    <n v="9"/>
    <n v="2"/>
    <n v="1"/>
    <s v="Group"/>
    <s v="Qualifier Group Stage"/>
    <s v="Loss"/>
    <n v="0"/>
    <n v="0"/>
    <n v="0"/>
    <m/>
    <n v="-7.0000000000000001E-3"/>
  </r>
  <r>
    <s v="2025 EWCL"/>
    <s v="Berlin"/>
    <x v="4"/>
    <s v="25_BE_G17"/>
    <s v="CSAVH Lyon – Kleio Thessaloniki 0-3"/>
    <n v="0"/>
    <n v="3"/>
    <n v="-3"/>
    <s v="CSAVH Lyon"/>
    <s v="0-3"/>
    <n v="0"/>
    <n v="3"/>
    <n v="1"/>
    <s v="Group"/>
    <s v="Qualifier Group Stage"/>
    <s v="Loss"/>
    <n v="0"/>
    <n v="0"/>
    <n v="0"/>
    <m/>
    <n v="-3.0000000000000001E-3"/>
  </r>
  <r>
    <s v="2025 EWCL"/>
    <s v="Berlin"/>
    <x v="7"/>
    <s v="25_BE_G17"/>
    <s v="CSAVH Lyon – Kleio Thessaloniki 0-3"/>
    <n v="3"/>
    <n v="0"/>
    <n v="3"/>
    <s v="CSAVH Lyon"/>
    <s v="0-3"/>
    <n v="0"/>
    <n v="3"/>
    <n v="1"/>
    <s v="Group"/>
    <s v="Qualifier Group Stage"/>
    <s v="Win"/>
    <n v="3"/>
    <n v="3"/>
    <n v="1.5"/>
    <m/>
    <n v="1.5029999999999999"/>
  </r>
  <r>
    <s v="2025 EWCL"/>
    <s v="Berlin"/>
    <x v="9"/>
    <s v="25_BE_G18"/>
    <s v="Kahramanmaras – Füchse Berlin 7-5"/>
    <n v="7"/>
    <n v="5"/>
    <n v="2"/>
    <s v="Kahramanmaras"/>
    <s v="7-5"/>
    <n v="7"/>
    <n v="5"/>
    <n v="1"/>
    <s v="Group"/>
    <s v="Qualifier Group Stage"/>
    <s v="Win"/>
    <n v="3"/>
    <n v="3"/>
    <n v="1.5"/>
    <m/>
    <n v="1.502"/>
  </r>
  <r>
    <s v="2025 EWCL"/>
    <s v="Berlin"/>
    <x v="6"/>
    <s v="25_BE_G18"/>
    <s v="Kahramanmaras – Füchse Berlin 7-5"/>
    <n v="5"/>
    <n v="7"/>
    <n v="-2"/>
    <s v="Kahramanmaras"/>
    <s v="7-5"/>
    <n v="7"/>
    <n v="5"/>
    <n v="1"/>
    <s v="Group"/>
    <s v="Qualifier Group Stage"/>
    <s v="Loss"/>
    <n v="0"/>
    <n v="0"/>
    <n v="0"/>
    <m/>
    <n v="-2E-3"/>
  </r>
  <r>
    <s v="2025 EWCL"/>
    <s v="Berlin"/>
    <x v="3"/>
    <s v="25_BE_G19"/>
    <s v="GC Golden Flash – Old Power 1-5"/>
    <n v="1"/>
    <n v="5"/>
    <n v="-4"/>
    <s v="GC Golden Flash"/>
    <s v="1-5"/>
    <n v="1"/>
    <n v="5"/>
    <n v="1"/>
    <s v="Group"/>
    <s v="Qualifier Group Stage"/>
    <s v="Loss"/>
    <n v="0"/>
    <n v="0"/>
    <n v="0"/>
    <m/>
    <n v="-4.0000000000000001E-3"/>
  </r>
  <r>
    <s v="2025 EWCL"/>
    <s v="Berlin"/>
    <x v="1"/>
    <s v="25_BE_G19"/>
    <s v="GC Golden Flash – Old Power 1-5"/>
    <n v="5"/>
    <n v="1"/>
    <n v="4"/>
    <s v="GC Golden Flash"/>
    <s v="1-5"/>
    <n v="1"/>
    <n v="5"/>
    <n v="1"/>
    <s v="Group"/>
    <s v="Qualifier Group Stage"/>
    <s v="Win"/>
    <n v="3"/>
    <n v="3"/>
    <n v="1.5"/>
    <m/>
    <n v="1.504"/>
  </r>
  <r>
    <s v="2025 EWCL"/>
    <s v="Berlin"/>
    <x v="7"/>
    <s v="25_BE_G20"/>
    <s v="Kleio Thessaloniki – Näpäjä 1-6"/>
    <n v="1"/>
    <n v="6"/>
    <n v="-5"/>
    <s v="Kleio Thessaloniki"/>
    <s v="1-6"/>
    <n v="1"/>
    <n v="6"/>
    <n v="1"/>
    <s v="Group"/>
    <s v="Qualifier Group Stage"/>
    <s v="Loss"/>
    <n v="0"/>
    <n v="0"/>
    <n v="0"/>
    <m/>
    <n v="-5.0000000000000001E-3"/>
  </r>
  <r>
    <s v="2025 EWCL"/>
    <s v="Berlin"/>
    <x v="5"/>
    <s v="25_BE_G20"/>
    <s v="Kleio Thessaloniki – Näpäjä 1-6"/>
    <n v="6"/>
    <n v="1"/>
    <n v="5"/>
    <s v="Kleio Thessaloniki"/>
    <s v="1-6"/>
    <n v="1"/>
    <n v="6"/>
    <n v="1"/>
    <s v="Group"/>
    <s v="Qualifier Group Stage"/>
    <s v="Win"/>
    <n v="3"/>
    <n v="3"/>
    <n v="1.5"/>
    <m/>
    <n v="1.5049999999999999"/>
  </r>
  <r>
    <s v="2025 EWCL"/>
    <s v="Berlin"/>
    <x v="1"/>
    <s v="25_BE_G21"/>
    <s v="Old Power – Kleio Thessaloniki 1-2"/>
    <n v="1"/>
    <n v="2"/>
    <n v="-1"/>
    <s v="Old Power"/>
    <s v="1-2"/>
    <n v="1"/>
    <n v="2"/>
    <n v="1"/>
    <s v="Placement"/>
    <s v="Qualifier Placement in OT or Extra Throws"/>
    <s v="Loss"/>
    <n v="1"/>
    <n v="1"/>
    <n v="0.5"/>
    <m/>
    <n v="0.499"/>
  </r>
  <r>
    <s v="2025 EWCL"/>
    <s v="Berlin"/>
    <x v="7"/>
    <s v="25_BE_G21"/>
    <s v="Old Power – Kleio Thessaloniki 1-2"/>
    <n v="2"/>
    <n v="1"/>
    <n v="1"/>
    <s v="Old Power"/>
    <s v="1-2"/>
    <n v="1"/>
    <n v="2"/>
    <n v="1"/>
    <s v="Placement"/>
    <s v="Qualifier Placement in OT or Extra Throws"/>
    <s v="Win"/>
    <n v="2"/>
    <n v="2"/>
    <n v="1"/>
    <m/>
    <n v="1.0009999999999999"/>
  </r>
  <r>
    <s v="2025 EWCL"/>
    <s v="Berlin"/>
    <x v="5"/>
    <s v="25_BE_G22"/>
    <s v="Näpäjä – GC Golden Flash 4-3"/>
    <n v="4"/>
    <n v="3"/>
    <n v="1"/>
    <s v="Näpäjä"/>
    <s v="4-3"/>
    <n v="4"/>
    <n v="3"/>
    <n v="1"/>
    <s v="Placement"/>
    <s v="Qualifier Placement"/>
    <s v="Win"/>
    <n v="3"/>
    <n v="3"/>
    <n v="1.5"/>
    <m/>
    <n v="1.5009999999999999"/>
  </r>
  <r>
    <s v="2025 EWCL"/>
    <s v="Berlin"/>
    <x v="3"/>
    <s v="25_BE_G22"/>
    <s v="Näpäjä – GC Golden Flash 4-3"/>
    <n v="3"/>
    <n v="4"/>
    <n v="-1"/>
    <s v="Näpäjä"/>
    <s v="4-3"/>
    <n v="4"/>
    <n v="3"/>
    <n v="1"/>
    <s v="Placement"/>
    <s v="Qualifier Placement"/>
    <s v="Loss"/>
    <n v="0"/>
    <n v="0"/>
    <n v="0"/>
    <m/>
    <n v="-1E-3"/>
  </r>
  <r>
    <s v="2025 EWCL"/>
    <s v="Berlin"/>
    <x v="8"/>
    <s v="25_BE_G23"/>
    <s v="FIFH Malmo – Füchse Berlin 1-3"/>
    <n v="1"/>
    <n v="3"/>
    <n v="-2"/>
    <s v="FIFH Malmo"/>
    <s v="1-3"/>
    <n v="1"/>
    <n v="3"/>
    <n v="1"/>
    <s v="SF"/>
    <s v="Qualifier QF/SF/Medal"/>
    <s v="Loss"/>
    <n v="0"/>
    <n v="0"/>
    <n v="0"/>
    <m/>
    <n v="-2E-3"/>
  </r>
  <r>
    <s v="2025 EWCL"/>
    <s v="Berlin"/>
    <x v="6"/>
    <s v="25_BE_G23"/>
    <s v="FIFH Malmo – Füchse Berlin 1-3"/>
    <n v="3"/>
    <n v="1"/>
    <n v="2"/>
    <s v="FIFH Malmo"/>
    <s v="1-3"/>
    <n v="1"/>
    <n v="3"/>
    <n v="1"/>
    <s v="SF"/>
    <s v="Qualifier QF/SF/Medal"/>
    <s v="Win"/>
    <n v="4.5"/>
    <n v="4.5"/>
    <n v="2.25"/>
    <m/>
    <n v="2.2519999999999998"/>
  </r>
  <r>
    <s v="2025 EWCL"/>
    <s v="Berlin"/>
    <x v="9"/>
    <s v="25_BE_G24"/>
    <s v="Kahramanmaras – RGC Hansa 6-2"/>
    <n v="6"/>
    <n v="2"/>
    <n v="4"/>
    <s v="Kahramanmaras"/>
    <s v="6-2"/>
    <n v="6"/>
    <n v="2"/>
    <n v="1"/>
    <s v="SF"/>
    <s v="Qualifier QF/SF/Medal"/>
    <s v="Win"/>
    <n v="4.5"/>
    <n v="4.5"/>
    <n v="2.25"/>
    <m/>
    <n v="2.254"/>
  </r>
  <r>
    <s v="2025 EWCL"/>
    <s v="Berlin"/>
    <x v="2"/>
    <s v="25_BE_G24"/>
    <s v="Kahramanmaras – RGC Hansa 6-2"/>
    <n v="2"/>
    <n v="6"/>
    <n v="-4"/>
    <s v="Kahramanmaras"/>
    <s v="6-2"/>
    <n v="6"/>
    <n v="2"/>
    <n v="1"/>
    <s v="SF"/>
    <s v="Qualifier QF/SF/Medal"/>
    <s v="Loss"/>
    <n v="0"/>
    <n v="0"/>
    <n v="0"/>
    <m/>
    <n v="-4.0000000000000001E-3"/>
  </r>
  <r>
    <s v="2025 EWCL"/>
    <s v="Berlin"/>
    <x v="0"/>
    <s v="25_BE_G25"/>
    <s v="USV Hercules – CSAVH Lyon 15-7"/>
    <n v="15"/>
    <n v="7"/>
    <n v="8"/>
    <s v="USV Hercules"/>
    <s v="15-7"/>
    <n v="15"/>
    <n v="7"/>
    <n v="1"/>
    <s v="Placement"/>
    <s v="Qualifier Placement"/>
    <s v="Win"/>
    <n v="3"/>
    <n v="3"/>
    <n v="1.5"/>
    <m/>
    <n v="1.508"/>
  </r>
  <r>
    <s v="2025 EWCL"/>
    <s v="Berlin"/>
    <x v="4"/>
    <s v="25_BE_G25"/>
    <s v="USV Hercules – CSAVH Lyon 15-7"/>
    <n v="7"/>
    <n v="15"/>
    <n v="-8"/>
    <s v="USV Hercules"/>
    <s v="15-7"/>
    <n v="15"/>
    <n v="7"/>
    <n v="1"/>
    <s v="Placement"/>
    <s v="Qualifier Placement"/>
    <s v="Loss"/>
    <n v="0"/>
    <n v="0"/>
    <n v="0"/>
    <m/>
    <n v="-8.0000000000000002E-3"/>
  </r>
  <r>
    <s v="2025 EWCL"/>
    <s v="Berlin"/>
    <x v="1"/>
    <s v="25_BE_G26"/>
    <s v="Old Power – GC Golden Flash 4-2"/>
    <n v="4"/>
    <n v="2"/>
    <n v="2"/>
    <s v="Old Power"/>
    <s v="4-2"/>
    <n v="4"/>
    <n v="2"/>
    <n v="1"/>
    <s v="Placement"/>
    <s v="Qualifier Placement"/>
    <s v="Win"/>
    <n v="3"/>
    <n v="3"/>
    <n v="1.5"/>
    <m/>
    <n v="1.502"/>
  </r>
  <r>
    <s v="2025 EWCL"/>
    <s v="Berlin"/>
    <x v="3"/>
    <s v="25_BE_G26"/>
    <s v="Old Power – GC Golden Flash 4-2"/>
    <n v="2"/>
    <n v="4"/>
    <n v="-2"/>
    <s v="Old Power"/>
    <s v="4-2"/>
    <n v="4"/>
    <n v="2"/>
    <n v="1"/>
    <s v="Placement"/>
    <s v="Qualifier Placement"/>
    <s v="Loss"/>
    <n v="0"/>
    <n v="0"/>
    <n v="0"/>
    <m/>
    <n v="-2E-3"/>
  </r>
  <r>
    <s v="2025 EWCL"/>
    <s v="Berlin"/>
    <x v="7"/>
    <s v="25_BE_G27"/>
    <s v="Kleio Thessaloniki – Näpäjä 0-4"/>
    <n v="0"/>
    <n v="4"/>
    <n v="-4"/>
    <s v="Kleio Thessaloniki"/>
    <s v="0-4"/>
    <n v="0"/>
    <n v="4"/>
    <n v="1"/>
    <s v="Placement"/>
    <s v="Qualifier Placement"/>
    <s v="Loss"/>
    <n v="0"/>
    <n v="0"/>
    <n v="0"/>
    <m/>
    <n v="-4.0000000000000001E-3"/>
  </r>
  <r>
    <s v="2025 EWCL"/>
    <s v="Berlin"/>
    <x v="5"/>
    <s v="25_BE_G27"/>
    <s v="Kleio Thessaloniki – Näpäjä 0-4"/>
    <n v="4"/>
    <n v="0"/>
    <n v="4"/>
    <s v="Kleio Thessaloniki"/>
    <s v="0-4"/>
    <n v="0"/>
    <n v="4"/>
    <n v="1"/>
    <s v="Placement"/>
    <s v="Qualifier Placement"/>
    <s v="Win"/>
    <n v="3"/>
    <n v="3"/>
    <n v="1.5"/>
    <m/>
    <n v="1.504"/>
  </r>
  <r>
    <s v="2025 EWCL"/>
    <s v="Berlin"/>
    <x v="8"/>
    <s v="25_BE_G28"/>
    <s v="FIFH Malmo – RGC Hansa 6-3"/>
    <n v="6"/>
    <n v="3"/>
    <n v="3"/>
    <s v="FIFH Malmo"/>
    <s v="6-3"/>
    <n v="6"/>
    <n v="3"/>
    <n v="1"/>
    <s v="Medal"/>
    <s v="Qualifier QF/SF/Medal in OT or Extra Throws"/>
    <s v="Win"/>
    <n v="3"/>
    <n v="3"/>
    <n v="1.5"/>
    <m/>
    <n v="1.5029999999999999"/>
  </r>
  <r>
    <s v="2025 EWCL"/>
    <s v="Berlin"/>
    <x v="2"/>
    <s v="25_BE_G28"/>
    <s v="FIFH Malmo – RGC Hansa 6-3"/>
    <n v="3"/>
    <n v="6"/>
    <n v="-3"/>
    <s v="FIFH Malmo"/>
    <s v="6-3"/>
    <n v="6"/>
    <n v="3"/>
    <n v="1"/>
    <s v="Medal"/>
    <s v="Qualifier QF/SF/Medal in OT or Extra Throws"/>
    <s v="Loss"/>
    <n v="1.5"/>
    <n v="1.5"/>
    <n v="0.75"/>
    <m/>
    <n v="0.747"/>
  </r>
  <r>
    <s v="2025 EWCL"/>
    <s v="Berlin"/>
    <x v="6"/>
    <s v="25_BE_G29"/>
    <s v="Füchse Berlin – Kahramanmaras 4-1"/>
    <n v="4"/>
    <n v="1"/>
    <n v="3"/>
    <s v="Füchse Berlin"/>
    <s v="4-1"/>
    <n v="4"/>
    <n v="1"/>
    <n v="1"/>
    <s v="Medal"/>
    <s v="Qualifier QF/SF/Medal"/>
    <s v="Win"/>
    <n v="4.5"/>
    <n v="4.5"/>
    <n v="2.25"/>
    <m/>
    <n v="2.2530000000000001"/>
  </r>
  <r>
    <s v="2025 EWCL"/>
    <s v="Berlin"/>
    <x v="9"/>
    <s v="25_BE_G29"/>
    <s v="Füchse Berlin – Kahramanmaras 4-1"/>
    <n v="1"/>
    <n v="4"/>
    <n v="-3"/>
    <s v="Füchse Berlin"/>
    <s v="4-1"/>
    <n v="4"/>
    <n v="1"/>
    <n v="1"/>
    <s v="Medal"/>
    <s v="Qualifier QF/SF/Medal"/>
    <s v="Loss"/>
    <n v="0"/>
    <n v="0"/>
    <n v="0"/>
    <m/>
    <n v="-3.0000000000000001E-3"/>
  </r>
  <r>
    <s v="2026 EWCL"/>
    <s v="Rostock"/>
    <x v="8"/>
    <s v="26_RS_G01"/>
    <s v="FIFH Malmo – GC Golden Flash 9-4"/>
    <n v="9"/>
    <n v="4"/>
    <n v="5"/>
    <s v="FIFH Malmo"/>
    <s v="9-4"/>
    <n v="9"/>
    <n v="4"/>
    <n v="1"/>
    <s v="Group"/>
    <s v="Qualifier Group Stage"/>
    <s v="Win"/>
    <n v="3"/>
    <m/>
    <n v="3"/>
    <n v="1.5"/>
    <n v="3.0049999999999999"/>
  </r>
  <r>
    <s v="2026 EWCL"/>
    <s v="Rostock"/>
    <x v="3"/>
    <s v="26_RS_G01"/>
    <s v="FIFH Malmo – GC Golden Flash 9-4"/>
    <n v="4"/>
    <n v="9"/>
    <n v="-5"/>
    <s v="FIFH Malmo"/>
    <s v="9-4"/>
    <n v="9"/>
    <n v="4"/>
    <n v="1"/>
    <s v="Group"/>
    <s v="Qualifier Group Stage"/>
    <s v="Loss"/>
    <n v="0"/>
    <m/>
    <n v="0"/>
    <n v="0"/>
    <n v="-5.0000000000000001E-3"/>
  </r>
  <r>
    <s v="2026 EWCL"/>
    <s v="Rostock"/>
    <x v="9"/>
    <s v="26_RS_G02"/>
    <s v="Kahramanmaras – RGC Hansa 3-5"/>
    <n v="3"/>
    <n v="5"/>
    <n v="-2"/>
    <s v="Kahramanmaras"/>
    <s v="3-5"/>
    <n v="3"/>
    <n v="5"/>
    <n v="1"/>
    <s v="Group"/>
    <s v="Qualifier Group Stage"/>
    <s v="Loss"/>
    <n v="0"/>
    <m/>
    <n v="0"/>
    <n v="0"/>
    <n v="-2E-3"/>
  </r>
  <r>
    <s v="2026 EWCL"/>
    <s v="Rostock"/>
    <x v="2"/>
    <s v="26_RS_G02"/>
    <s v="Kahramanmaras – RGC Hansa 3-5"/>
    <n v="5"/>
    <n v="3"/>
    <n v="2"/>
    <s v="Kahramanmaras"/>
    <s v="3-5"/>
    <n v="3"/>
    <n v="5"/>
    <n v="1"/>
    <s v="Group"/>
    <s v="Qualifier Group Stage"/>
    <s v="Win"/>
    <n v="3"/>
    <m/>
    <n v="3"/>
    <n v="1.5"/>
    <n v="3.0019999999999998"/>
  </r>
  <r>
    <s v="2026 EWCL"/>
    <s v="Rostock"/>
    <x v="6"/>
    <s v="26_RS_G03"/>
    <s v="Füchse Berlin – Isparta 6-8"/>
    <n v="6"/>
    <n v="8"/>
    <n v="-2"/>
    <s v="Füchse Berlin"/>
    <s v="6-8"/>
    <n v="6"/>
    <n v="8"/>
    <n v="1"/>
    <s v="Group"/>
    <s v="Qualifier Group Stage"/>
    <s v="Loss"/>
    <n v="0"/>
    <m/>
    <n v="0"/>
    <n v="0"/>
    <n v="-2E-3"/>
  </r>
  <r>
    <s v="2026 EWCL"/>
    <s v="Rostock"/>
    <x v="10"/>
    <s v="26_RS_G03"/>
    <s v="Füchse Berlin – Isparta 6-8"/>
    <n v="8"/>
    <n v="6"/>
    <n v="2"/>
    <s v="Füchse Berlin"/>
    <s v="6-8"/>
    <n v="6"/>
    <n v="8"/>
    <n v="1"/>
    <s v="Group"/>
    <s v="Qualifier Group Stage"/>
    <s v="Win"/>
    <n v="3"/>
    <m/>
    <n v="3"/>
    <n v="1.5"/>
    <n v="3.0019999999999998"/>
  </r>
  <r>
    <s v="2026 EWCL"/>
    <s v="Rostock"/>
    <x v="1"/>
    <s v="26_RS_G04"/>
    <s v="Old Power – USV Hercules 8-5"/>
    <n v="8"/>
    <n v="5"/>
    <n v="3"/>
    <s v="Old Power"/>
    <s v="8-5"/>
    <n v="8"/>
    <n v="5"/>
    <n v="1"/>
    <s v="Group"/>
    <s v="Qualifier Group Stage"/>
    <s v="Win"/>
    <n v="3"/>
    <m/>
    <n v="3"/>
    <n v="1.5"/>
    <n v="3.0030000000000001"/>
  </r>
  <r>
    <s v="2026 EWCL"/>
    <s v="Rostock"/>
    <x v="0"/>
    <s v="26_RS_G04"/>
    <s v="Old Power – USV Hercules 8-5"/>
    <n v="5"/>
    <n v="8"/>
    <n v="-3"/>
    <s v="Old Power"/>
    <s v="8-5"/>
    <n v="8"/>
    <n v="5"/>
    <n v="1"/>
    <s v="Group"/>
    <s v="Qualifier Group Stage"/>
    <s v="Loss"/>
    <n v="0"/>
    <m/>
    <n v="0"/>
    <n v="0"/>
    <n v="-3.0000000000000001E-3"/>
  </r>
  <r>
    <s v="2026 EWCL"/>
    <s v="Rostock"/>
    <x v="2"/>
    <s v="26_RS_G05"/>
    <s v="RGC Hansa – FIFH Malmo 7-4"/>
    <n v="7"/>
    <n v="4"/>
    <n v="3"/>
    <s v="RGC Hansa"/>
    <s v="7-4"/>
    <n v="7"/>
    <n v="4"/>
    <n v="1"/>
    <s v="Group"/>
    <s v="Qualifier Group Stage"/>
    <s v="Win"/>
    <n v="3"/>
    <m/>
    <n v="3"/>
    <n v="1.5"/>
    <n v="3.0030000000000001"/>
  </r>
  <r>
    <s v="2026 EWCL"/>
    <s v="Rostock"/>
    <x v="8"/>
    <s v="26_RS_G05"/>
    <s v="RGC Hansa – FIFH Malmo 7-4"/>
    <n v="4"/>
    <n v="7"/>
    <n v="-3"/>
    <s v="RGC Hansa"/>
    <s v="7-4"/>
    <n v="7"/>
    <n v="4"/>
    <n v="1"/>
    <s v="Group"/>
    <s v="Qualifier Group Stage"/>
    <s v="Loss"/>
    <n v="0"/>
    <m/>
    <n v="0"/>
    <n v="0"/>
    <n v="-3.0000000000000001E-3"/>
  </r>
  <r>
    <s v="2026 EWCL"/>
    <s v="Rostock"/>
    <x v="3"/>
    <s v="26_RS_G06"/>
    <s v="GC Golden Flash – Kahramanmaras 2-7"/>
    <n v="2"/>
    <n v="7"/>
    <n v="-5"/>
    <s v="GC Golden Flash"/>
    <s v="2-7"/>
    <n v="2"/>
    <n v="7"/>
    <n v="1"/>
    <s v="Group"/>
    <s v="Qualifier Group Stage"/>
    <s v="Loss"/>
    <n v="0"/>
    <m/>
    <n v="0"/>
    <n v="0"/>
    <n v="-5.0000000000000001E-3"/>
  </r>
  <r>
    <s v="2026 EWCL"/>
    <s v="Rostock"/>
    <x v="9"/>
    <s v="26_RS_G06"/>
    <s v="GC Golden Flash – Kahramanmaras 2-7"/>
    <n v="7"/>
    <n v="2"/>
    <n v="5"/>
    <s v="GC Golden Flash"/>
    <s v="2-7"/>
    <n v="2"/>
    <n v="7"/>
    <n v="1"/>
    <s v="Group"/>
    <s v="Qualifier Group Stage"/>
    <s v="Win"/>
    <n v="3"/>
    <m/>
    <n v="3"/>
    <n v="1.5"/>
    <n v="3.0049999999999999"/>
  </r>
  <r>
    <s v="2026 EWCL"/>
    <s v="Rostock"/>
    <x v="0"/>
    <s v="26_RS_G07"/>
    <s v="USV Hercules – Füchse Berlin 8-3"/>
    <n v="8"/>
    <n v="3"/>
    <n v="5"/>
    <s v="USV Hercules"/>
    <s v="8-3"/>
    <n v="8"/>
    <n v="3"/>
    <n v="1"/>
    <s v="Group"/>
    <s v="Qualifier Group Stage"/>
    <s v="Win"/>
    <n v="3"/>
    <m/>
    <n v="3"/>
    <n v="1.5"/>
    <n v="3.0049999999999999"/>
  </r>
  <r>
    <s v="2026 EWCL"/>
    <s v="Rostock"/>
    <x v="6"/>
    <s v="26_RS_G07"/>
    <s v="USV Hercules – Füchse Berlin 8-3"/>
    <n v="3"/>
    <n v="8"/>
    <n v="-5"/>
    <s v="USV Hercules"/>
    <s v="8-3"/>
    <n v="8"/>
    <n v="3"/>
    <n v="1"/>
    <s v="Group"/>
    <s v="Qualifier Group Stage"/>
    <s v="Loss"/>
    <n v="0"/>
    <m/>
    <n v="0"/>
    <n v="0"/>
    <n v="-5.0000000000000001E-3"/>
  </r>
  <r>
    <s v="2026 EWCL"/>
    <s v="Rostock"/>
    <x v="10"/>
    <s v="26_RS_G08"/>
    <s v="Isparta – Old Power 5-10"/>
    <n v="5"/>
    <n v="10"/>
    <n v="-5"/>
    <s v="Isparta"/>
    <s v="5-10"/>
    <n v="5"/>
    <n v="10"/>
    <n v="1"/>
    <s v="Group"/>
    <s v="Qualifier Group Stage"/>
    <s v="Loss"/>
    <n v="0"/>
    <m/>
    <n v="0"/>
    <n v="0"/>
    <n v="-5.0000000000000001E-3"/>
  </r>
  <r>
    <s v="2026 EWCL"/>
    <s v="Rostock"/>
    <x v="1"/>
    <s v="26_RS_G08"/>
    <s v="Isparta – Old Power 5-10"/>
    <n v="10"/>
    <n v="5"/>
    <n v="5"/>
    <s v="Isparta"/>
    <s v="5-10"/>
    <n v="5"/>
    <n v="10"/>
    <n v="1"/>
    <s v="Group"/>
    <s v="Qualifier Group Stage"/>
    <s v="Win"/>
    <n v="3"/>
    <m/>
    <n v="3"/>
    <n v="1.5"/>
    <n v="3.0049999999999999"/>
  </r>
  <r>
    <s v="2026 EWCL"/>
    <s v="Rostock"/>
    <x v="2"/>
    <s v="26_RS_G09"/>
    <s v="RGC Hansa – GC Golden Flash 4-3"/>
    <n v="4"/>
    <n v="3"/>
    <n v="1"/>
    <s v="RGC Hansa"/>
    <s v="4-3"/>
    <n v="4"/>
    <n v="3"/>
    <n v="1"/>
    <s v="Group"/>
    <s v="Qualifier Group Stage"/>
    <s v="Win"/>
    <n v="3"/>
    <m/>
    <n v="3"/>
    <n v="1.5"/>
    <n v="3.0009999999999999"/>
  </r>
  <r>
    <s v="2026 EWCL"/>
    <s v="Rostock"/>
    <x v="3"/>
    <s v="26_RS_G09"/>
    <s v="RGC Hansa – GC Golden Flash 4-3"/>
    <n v="3"/>
    <n v="4"/>
    <n v="-1"/>
    <s v="RGC Hansa"/>
    <s v="4-3"/>
    <n v="4"/>
    <n v="3"/>
    <n v="1"/>
    <s v="Group"/>
    <s v="Qualifier Group Stage"/>
    <s v="Loss"/>
    <n v="0"/>
    <m/>
    <n v="0"/>
    <n v="0"/>
    <n v="-1E-3"/>
  </r>
  <r>
    <s v="2026 EWCL"/>
    <s v="Rostock"/>
    <x v="8"/>
    <s v="26_RS_G10"/>
    <s v="FIFH Malmo – Kahramanmaras 5-9"/>
    <n v="5"/>
    <n v="9"/>
    <n v="-4"/>
    <s v="FIFH Malmo"/>
    <s v="5-9"/>
    <n v="5"/>
    <n v="9"/>
    <n v="1"/>
    <s v="Group"/>
    <s v="Qualifier Group Stage"/>
    <s v="Loss"/>
    <n v="0"/>
    <m/>
    <n v="0"/>
    <n v="0"/>
    <n v="-4.0000000000000001E-3"/>
  </r>
  <r>
    <s v="2026 EWCL"/>
    <s v="Rostock"/>
    <x v="9"/>
    <s v="26_RS_G10"/>
    <s v="FIFH Malmo – Kahramanmaras 5-9"/>
    <n v="9"/>
    <n v="5"/>
    <n v="4"/>
    <s v="FIFH Malmo"/>
    <s v="5-9"/>
    <n v="5"/>
    <n v="9"/>
    <n v="1"/>
    <s v="Group"/>
    <s v="Qualifier Group Stage"/>
    <s v="Win"/>
    <n v="3"/>
    <m/>
    <n v="3"/>
    <n v="1.5"/>
    <n v="3.004"/>
  </r>
  <r>
    <s v="2026 EWCL"/>
    <s v="Rostock"/>
    <x v="0"/>
    <s v="26_RS_G11"/>
    <s v="USV Hercules – Isparta 4-5"/>
    <n v="4"/>
    <n v="5"/>
    <n v="-1"/>
    <s v="USV Hercules"/>
    <s v="4-5"/>
    <n v="4"/>
    <n v="5"/>
    <n v="1"/>
    <s v="Group"/>
    <s v="Qualifier Group Stage"/>
    <s v="Loss"/>
    <n v="0"/>
    <m/>
    <n v="0"/>
    <n v="0"/>
    <n v="-1E-3"/>
  </r>
  <r>
    <s v="2026 EWCL"/>
    <s v="Rostock"/>
    <x v="10"/>
    <s v="26_RS_G11"/>
    <s v="USV Hercules – Isparta 4-5"/>
    <n v="5"/>
    <n v="4"/>
    <n v="1"/>
    <s v="USV Hercules"/>
    <s v="4-5"/>
    <n v="4"/>
    <n v="5"/>
    <n v="1"/>
    <s v="Group"/>
    <s v="Qualifier Group Stage"/>
    <s v="Win"/>
    <n v="3"/>
    <m/>
    <n v="3"/>
    <n v="1.5"/>
    <n v="3.0009999999999999"/>
  </r>
  <r>
    <s v="2026 EWCL"/>
    <s v="Rostock"/>
    <x v="6"/>
    <s v="26_RS_G12"/>
    <s v="Füchse Berlin – Old Power 0-10"/>
    <n v="0"/>
    <n v="10"/>
    <n v="-10"/>
    <s v="Füchse Berlin"/>
    <s v="0-10"/>
    <n v="0"/>
    <n v="10"/>
    <n v="1"/>
    <s v="Group"/>
    <s v="Qualifier Group Stage"/>
    <s v="Loss"/>
    <n v="0"/>
    <m/>
    <n v="0"/>
    <n v="0"/>
    <n v="-0.01"/>
  </r>
  <r>
    <s v="2026 EWCL"/>
    <s v="Rostock"/>
    <x v="1"/>
    <s v="26_RS_G12"/>
    <s v="Füchse Berlin – Old Power 0-10"/>
    <n v="10"/>
    <n v="0"/>
    <n v="10"/>
    <s v="Füchse Berlin"/>
    <s v="0-10"/>
    <n v="0"/>
    <n v="10"/>
    <n v="1"/>
    <s v="Group"/>
    <s v="Qualifier Group Stage"/>
    <s v="Win"/>
    <n v="3"/>
    <m/>
    <n v="3"/>
    <n v="1.5"/>
    <n v="3.01"/>
  </r>
  <r>
    <s v="2026 EWCL"/>
    <s v="Rostock"/>
    <x v="2"/>
    <s v="26_RS_G13"/>
    <s v="RGC Hansa – Füchse Berlin 11-1"/>
    <n v="11"/>
    <n v="1"/>
    <n v="10"/>
    <s v="RGC Hansa"/>
    <s v="11-1"/>
    <n v="11"/>
    <n v="1"/>
    <n v="1"/>
    <s v="QF"/>
    <s v="Qualifier QF/SF/Medal"/>
    <s v="Win"/>
    <n v="4.5"/>
    <m/>
    <n v="4.5"/>
    <n v="2.25"/>
    <n v="4.51"/>
  </r>
  <r>
    <s v="2026 EWCL"/>
    <s v="Rostock"/>
    <x v="6"/>
    <s v="26_RS_G13"/>
    <s v="RGC Hansa – Füchse Berlin 11-1"/>
    <n v="1"/>
    <n v="11"/>
    <n v="-10"/>
    <s v="RGC Hansa"/>
    <s v="11-1"/>
    <n v="11"/>
    <n v="1"/>
    <n v="1"/>
    <s v="QF"/>
    <s v="Qualifier QF/SF/Medal"/>
    <s v="Loss"/>
    <n v="0"/>
    <m/>
    <n v="0"/>
    <n v="0"/>
    <n v="-0.01"/>
  </r>
  <r>
    <s v="2026 EWCL"/>
    <s v="Rostock"/>
    <x v="10"/>
    <s v="26_RS_G14"/>
    <s v="Isparta – FIFH Malmo 1-6"/>
    <n v="1"/>
    <n v="6"/>
    <n v="-5"/>
    <s v="Isparta"/>
    <s v="1-6"/>
    <n v="1"/>
    <n v="6"/>
    <n v="1"/>
    <s v="QF"/>
    <s v="Qualifier QF/SF/Medal"/>
    <s v="Loss"/>
    <n v="0"/>
    <m/>
    <n v="0"/>
    <n v="0"/>
    <n v="-5.0000000000000001E-3"/>
  </r>
  <r>
    <s v="2026 EWCL"/>
    <s v="Rostock"/>
    <x v="8"/>
    <s v="26_RS_G14"/>
    <s v="Isparta – FIFH Malmo 1-6"/>
    <n v="6"/>
    <n v="1"/>
    <n v="5"/>
    <s v="Isparta"/>
    <s v="1-6"/>
    <n v="1"/>
    <n v="6"/>
    <n v="1"/>
    <s v="QF"/>
    <s v="Qualifier QF/SF/Medal"/>
    <s v="Win"/>
    <n v="4.5"/>
    <m/>
    <n v="4.5"/>
    <n v="2.25"/>
    <n v="4.5049999999999999"/>
  </r>
  <r>
    <s v="2026 EWCL"/>
    <s v="Rostock"/>
    <x v="1"/>
    <s v="26_RS_G15"/>
    <s v="Old Power – GC Golden Flash 9-4"/>
    <n v="9"/>
    <n v="4"/>
    <n v="5"/>
    <s v="Old Power"/>
    <s v="9-4"/>
    <n v="9"/>
    <n v="4"/>
    <n v="1"/>
    <s v="QF"/>
    <s v="Qualifier QF/SF/Medal"/>
    <s v="Win"/>
    <n v="4.5"/>
    <m/>
    <n v="4.5"/>
    <n v="2.25"/>
    <n v="4.5049999999999999"/>
  </r>
  <r>
    <s v="2026 EWCL"/>
    <s v="Rostock"/>
    <x v="3"/>
    <s v="26_RS_G15"/>
    <s v="Old Power – GC Golden Flash 9-4"/>
    <n v="4"/>
    <n v="9"/>
    <n v="-5"/>
    <s v="Old Power"/>
    <s v="9-4"/>
    <n v="9"/>
    <n v="4"/>
    <n v="1"/>
    <s v="QF"/>
    <s v="Qualifier QF/SF/Medal"/>
    <s v="Loss"/>
    <n v="0"/>
    <m/>
    <n v="0"/>
    <n v="0"/>
    <n v="-5.0000000000000001E-3"/>
  </r>
  <r>
    <s v="2026 EWCL"/>
    <s v="Rostock"/>
    <x v="9"/>
    <s v="26_RS_G16"/>
    <s v="Kahramanmaras – USV Hercules 14-6"/>
    <n v="14"/>
    <n v="6"/>
    <n v="8"/>
    <s v="Kahramanmaras"/>
    <s v="14-6"/>
    <n v="14"/>
    <n v="6"/>
    <n v="1"/>
    <s v="QF"/>
    <s v="Qualifier QF/SF/Medal"/>
    <s v="Win"/>
    <n v="4.5"/>
    <m/>
    <n v="4.5"/>
    <n v="2.25"/>
    <n v="4.508"/>
  </r>
  <r>
    <s v="2026 EWCL"/>
    <s v="Rostock"/>
    <x v="0"/>
    <s v="26_RS_G16"/>
    <s v="Kahramanmaras – USV Hercules 14-6"/>
    <n v="6"/>
    <n v="14"/>
    <n v="-8"/>
    <s v="Kahramanmaras"/>
    <s v="14-6"/>
    <n v="14"/>
    <n v="6"/>
    <n v="1"/>
    <s v="QF"/>
    <s v="Qualifier QF/SF/Medal"/>
    <s v="Loss"/>
    <n v="0"/>
    <m/>
    <n v="0"/>
    <n v="0"/>
    <n v="-8.0000000000000002E-3"/>
  </r>
  <r>
    <s v="2026 EWCL"/>
    <s v="Rostock"/>
    <x v="10"/>
    <s v="26_RS_G17"/>
    <s v="Isparta – Füchse Berlin 3-9"/>
    <n v="3"/>
    <n v="9"/>
    <n v="-6"/>
    <s v="Isparta"/>
    <s v="3-9"/>
    <n v="3"/>
    <n v="9"/>
    <n v="1"/>
    <s v="Placement"/>
    <s v="Qualifier Placement"/>
    <s v="Loss"/>
    <n v="0"/>
    <m/>
    <n v="0"/>
    <n v="0"/>
    <n v="-6.0000000000000001E-3"/>
  </r>
  <r>
    <s v="2026 EWCL"/>
    <s v="Rostock"/>
    <x v="6"/>
    <s v="26_RS_G17"/>
    <s v="Isparta – Füchse Berlin 3-9"/>
    <n v="9"/>
    <n v="3"/>
    <n v="6"/>
    <s v="Isparta"/>
    <s v="3-9"/>
    <n v="3"/>
    <n v="9"/>
    <n v="1"/>
    <s v="Placement"/>
    <s v="Qualifier Placement"/>
    <s v="Win"/>
    <n v="3"/>
    <m/>
    <n v="3"/>
    <n v="1.5"/>
    <n v="3.0059999999999998"/>
  </r>
  <r>
    <s v="2026 EWCL"/>
    <s v="Rostock"/>
    <x v="0"/>
    <s v="26_RS_G18"/>
    <s v="USV Hercules – GC Golden Flash 0-3"/>
    <n v="0"/>
    <n v="3"/>
    <n v="-3"/>
    <s v="USV Hercules"/>
    <s v="0-3"/>
    <n v="0"/>
    <n v="3"/>
    <n v="1"/>
    <s v="Placement"/>
    <s v="Qualifier Placement"/>
    <s v="Loss"/>
    <n v="0"/>
    <m/>
    <n v="0"/>
    <n v="0"/>
    <n v="-3.0000000000000001E-3"/>
  </r>
  <r>
    <s v="2026 EWCL"/>
    <s v="Rostock"/>
    <x v="3"/>
    <s v="26_RS_G18"/>
    <s v="USV Hercules – GC Golden Flash 0-3"/>
    <n v="3"/>
    <n v="0"/>
    <n v="3"/>
    <s v="USV Hercules"/>
    <s v="0-3"/>
    <n v="0"/>
    <n v="3"/>
    <n v="1"/>
    <s v="Placement"/>
    <s v="Qualifier Placement"/>
    <s v="Win"/>
    <n v="3"/>
    <m/>
    <n v="3"/>
    <n v="1.5"/>
    <n v="3.0030000000000001"/>
  </r>
  <r>
    <s v="2026 EWCL"/>
    <s v="Rostock"/>
    <x v="1"/>
    <s v="26_RS_G19"/>
    <s v="Old Power – FIFH Malmo 3-1"/>
    <n v="3"/>
    <n v="1"/>
    <n v="2"/>
    <s v="Old Power"/>
    <s v="3-1"/>
    <n v="3"/>
    <n v="1"/>
    <n v="1"/>
    <s v="SF"/>
    <s v="Qualifier QF/SF/Medal"/>
    <s v="Win"/>
    <n v="4.5"/>
    <m/>
    <n v="4.5"/>
    <n v="2.25"/>
    <n v="4.5019999999999998"/>
  </r>
  <r>
    <s v="2026 EWCL"/>
    <s v="Rostock"/>
    <x v="8"/>
    <s v="26_RS_G19"/>
    <s v="Old Power – FIFH Malmo 3-1"/>
    <n v="1"/>
    <n v="3"/>
    <n v="-2"/>
    <s v="Old Power"/>
    <s v="3-1"/>
    <n v="3"/>
    <n v="1"/>
    <n v="1"/>
    <s v="SF"/>
    <s v="Qualifier QF/SF/Medal"/>
    <s v="Loss"/>
    <n v="0"/>
    <m/>
    <n v="0"/>
    <n v="0"/>
    <n v="-2E-3"/>
  </r>
  <r>
    <s v="2026 EWCL"/>
    <s v="Rostock"/>
    <x v="2"/>
    <s v="26_RS_G20"/>
    <s v="RGC Hansa Rostock – Kahramanmaras 2-4"/>
    <n v="4"/>
    <n v="2"/>
    <n v="2"/>
    <s v="RGC Hansa Rostock"/>
    <s v="2-4"/>
    <n v="2"/>
    <n v="4"/>
    <n v="1"/>
    <s v="SF"/>
    <s v="Qualifier QF/SF/Medal"/>
    <s v="Loss"/>
    <n v="0"/>
    <m/>
    <n v="0"/>
    <n v="0"/>
    <n v="2E-3"/>
  </r>
  <r>
    <s v="2026 EWCL"/>
    <s v="Rostock"/>
    <x v="9"/>
    <s v="26_RS_G20"/>
    <s v="RGC Hansa Rostock – Kahramanmaras 2-4"/>
    <n v="4"/>
    <n v="2"/>
    <n v="2"/>
    <s v="RGC Hansa Rostock"/>
    <s v="2-4"/>
    <n v="2"/>
    <n v="4"/>
    <n v="1"/>
    <s v="SF"/>
    <s v="Qualifier QF/SF/Medal"/>
    <s v="Win"/>
    <n v="4.5"/>
    <m/>
    <n v="4.5"/>
    <n v="2.25"/>
    <n v="4.5019999999999998"/>
  </r>
  <r>
    <s v="2026 EWCL"/>
    <s v="Rostock"/>
    <x v="10"/>
    <s v="26_RS_G21"/>
    <s v="Isparta – USV Hercules 1-11"/>
    <n v="1"/>
    <n v="11"/>
    <n v="-10"/>
    <s v="Isparta"/>
    <s v="1-11"/>
    <n v="1"/>
    <n v="11"/>
    <n v="1"/>
    <s v="Placement"/>
    <s v="Qualifier Placement"/>
    <s v="Loss"/>
    <n v="0"/>
    <m/>
    <n v="0"/>
    <n v="0"/>
    <n v="-0.01"/>
  </r>
  <r>
    <s v="2026 EWCL"/>
    <s v="Rostock"/>
    <x v="0"/>
    <s v="26_RS_G21"/>
    <s v="Isparta – USV Hercules 1-11"/>
    <n v="11"/>
    <n v="1"/>
    <n v="10"/>
    <s v="Isparta"/>
    <s v="1-11"/>
    <n v="1"/>
    <n v="11"/>
    <n v="1"/>
    <s v="Placement"/>
    <s v="Qualifier Placement"/>
    <s v="Win"/>
    <n v="3"/>
    <m/>
    <n v="3"/>
    <n v="1.5"/>
    <n v="3.01"/>
  </r>
  <r>
    <s v="2026 EWCL"/>
    <s v="Rostock"/>
    <x v="6"/>
    <s v="26_RS_G22"/>
    <s v="Füchse Berlin – GC Golden Flash 7-4"/>
    <n v="7"/>
    <n v="4"/>
    <n v="3"/>
    <s v="Füchse Berlin"/>
    <s v="7-4"/>
    <n v="7"/>
    <n v="4"/>
    <n v="1"/>
    <s v="Placement"/>
    <s v="Qualifier Placement"/>
    <s v="Win"/>
    <n v="3"/>
    <m/>
    <n v="3"/>
    <n v="1.5"/>
    <n v="3.0030000000000001"/>
  </r>
  <r>
    <s v="2026 EWCL"/>
    <s v="Rostock"/>
    <x v="3"/>
    <s v="26_RS_G22"/>
    <s v="Füchse Berlin – GC Golden Flash 7-4"/>
    <n v="4"/>
    <n v="7"/>
    <n v="-3"/>
    <s v="Füchse Berlin"/>
    <s v="7-4"/>
    <n v="7"/>
    <n v="4"/>
    <n v="1"/>
    <s v="Placement"/>
    <s v="Qualifier Placement"/>
    <s v="Loss"/>
    <n v="0"/>
    <m/>
    <n v="0"/>
    <n v="0"/>
    <n v="-3.0000000000000001E-3"/>
  </r>
  <r>
    <s v="2026 EWCL"/>
    <s v="Rostock"/>
    <x v="8"/>
    <s v="26_RS_G23"/>
    <s v="FIFH Malmo – RGC Hansa Rostock 4-6"/>
    <n v="4"/>
    <n v="6"/>
    <n v="-2"/>
    <s v="FIFH Malmo"/>
    <s v="4-6"/>
    <n v="4"/>
    <n v="6"/>
    <n v="1"/>
    <s v="Medal"/>
    <s v="Qualifier QF/SF/Medal"/>
    <s v="Loss"/>
    <n v="0"/>
    <m/>
    <n v="0"/>
    <n v="0"/>
    <n v="-2E-3"/>
  </r>
  <r>
    <s v="2026 EWCL"/>
    <s v="Rostock"/>
    <x v="2"/>
    <s v="26_RS_G23"/>
    <s v="FIFH Malmo – RGC Hansa Rostock 4-6"/>
    <n v="6"/>
    <n v="4"/>
    <n v="2"/>
    <s v="FIFH Malmo"/>
    <s v="4-6"/>
    <n v="4"/>
    <n v="6"/>
    <n v="1"/>
    <s v="Medal"/>
    <s v="Qualifier QF/SF/Medal"/>
    <s v="Win"/>
    <n v="4.5"/>
    <m/>
    <n v="4.5"/>
    <n v="2.25"/>
    <n v="4.5019999999999998"/>
  </r>
  <r>
    <s v="2026 EWCL"/>
    <s v="Rostock"/>
    <x v="1"/>
    <s v="26_RS_G24"/>
    <s v="Old Power – Kahramanmaras 2-1"/>
    <n v="2"/>
    <n v="1"/>
    <n v="1"/>
    <s v="Old Power"/>
    <s v="2-1"/>
    <n v="2"/>
    <n v="1"/>
    <n v="1"/>
    <s v="Medal"/>
    <s v="Qualifier QF/SF/Medal"/>
    <s v="Win"/>
    <n v="4.5"/>
    <m/>
    <n v="4.5"/>
    <n v="2.25"/>
    <n v="4.5010000000000003"/>
  </r>
  <r>
    <s v="2026 EWCL"/>
    <s v="Rostock"/>
    <x v="9"/>
    <s v="26_RS_G24"/>
    <s v="Old Power – Kahramanmaras 2-1"/>
    <n v="1"/>
    <n v="2"/>
    <n v="-1"/>
    <s v="Old Power"/>
    <s v="2-1"/>
    <n v="2"/>
    <n v="1"/>
    <n v="1"/>
    <s v="Medal"/>
    <s v="Qualifier QF/SF/Medal"/>
    <s v="Loss"/>
    <n v="0"/>
    <m/>
    <n v="0"/>
    <n v="0"/>
    <n v="-1E-3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s v=""/>
    <s v=""/>
    <m/>
    <m/>
    <m/>
    <m/>
    <m/>
    <m/>
    <m/>
    <m/>
    <m/>
    <s v=""/>
    <m/>
    <s v=""/>
    <e v="#VALUE!"/>
    <e v="#VALUE!"/>
  </r>
  <r>
    <m/>
    <m/>
    <x v="11"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CD762B-3E12-4B5A-AC1E-E1FD4ED1C32B}" name="PivotTable2" cacheId="38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 rowHeaderCaption="Team">
  <location ref="C2:I13" firstHeaderRow="0" firstDataRow="1" firstDataCol="1"/>
  <pivotFields count="21">
    <pivotField showAll="0"/>
    <pivotField showAll="0"/>
    <pivotField axis="axisRow" showAll="0" sortType="descending">
      <items count="40">
        <item m="1" x="21"/>
        <item m="1" x="33"/>
        <item m="1" x="34"/>
        <item m="1" x="22"/>
        <item m="1" x="15"/>
        <item m="1" x="23"/>
        <item m="1" x="35"/>
        <item m="1" x="36"/>
        <item m="1" x="37"/>
        <item x="4"/>
        <item m="1" x="16"/>
        <item m="1" x="24"/>
        <item m="1" x="25"/>
        <item x="6"/>
        <item m="1" x="26"/>
        <item m="1" x="17"/>
        <item m="1" x="27"/>
        <item m="1" x="18"/>
        <item m="1" x="28"/>
        <item m="1" x="29"/>
        <item x="7"/>
        <item x="5"/>
        <item m="1" x="19"/>
        <item m="1" x="20"/>
        <item m="1" x="30"/>
        <item x="1"/>
        <item m="1" x="38"/>
        <item x="2"/>
        <item m="1" x="31"/>
        <item m="1" x="32"/>
        <item h="1" x="11"/>
        <item x="0"/>
        <item x="3"/>
        <item x="8"/>
        <item x="9"/>
        <item m="1" x="12"/>
        <item m="1" x="13"/>
        <item m="1" x="14"/>
        <item x="10"/>
        <item t="default"/>
      </items>
      <autoSortScope>
        <pivotArea dataOnly="0" outline="0" fieldPosition="0">
          <references count="1">
            <reference field="4294967294" count="1" selected="0">
              <x v="5"/>
            </reference>
          </references>
        </pivotArea>
      </autoSortScope>
    </pivotField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numFmtId="2" showAll="0"/>
    <pivotField showAll="0"/>
    <pivotField dataField="1" showAll="0"/>
    <pivotField showAll="0"/>
    <pivotField dataField="1" showAll="0"/>
  </pivotFields>
  <rowFields count="1">
    <field x="2"/>
  </rowFields>
  <rowItems count="11">
    <i>
      <x v="25"/>
    </i>
    <i>
      <x v="34"/>
    </i>
    <i>
      <x v="27"/>
    </i>
    <i>
      <x v="33"/>
    </i>
    <i>
      <x v="13"/>
    </i>
    <i>
      <x v="31"/>
    </i>
    <i>
      <x v="21"/>
    </i>
    <i>
      <x v="38"/>
    </i>
    <i>
      <x v="32"/>
    </i>
    <i>
      <x v="20"/>
    </i>
    <i>
      <x v="9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Games Played" fld="12" baseField="0" baseItem="0" numFmtId="1"/>
    <dataField name="Goals Made" fld="5" baseField="0" baseItem="0" numFmtId="1"/>
    <dataField name="Goals Missed" fld="6" baseField="0" baseItem="0" numFmtId="1"/>
    <dataField name="Goal Difference." fld="7" baseField="0" baseItem="0" numFmtId="1"/>
    <dataField name="2027 Season Ranking Points" fld="18" baseField="2" baseItem="4"/>
    <dataField name="Sum of 2027 Ranking Sort Value" fld="20" baseField="0" baseItem="0" numFmtId="164"/>
  </dataFields>
  <formats count="36">
    <format dxfId="1">
      <pivotArea collapsedLevelsAreSubtotals="1" fieldPosition="0">
        <references count="1">
          <reference field="2" count="0"/>
        </references>
      </pivotArea>
    </format>
    <format dxfId="2">
      <pivotArea dataOnly="0" labelOnly="1" outline="0" axis="axisValues" fieldPosition="0"/>
    </format>
    <format dxfId="3">
      <pivotArea dataOnly="0" labelOnly="1" outline="0" axis="axisValues" fieldPosition="0"/>
    </format>
    <format dxfId="4">
      <pivotArea outline="0" collapsedLevelsAreSubtotals="1" fieldPosition="0"/>
    </format>
    <format dxfId="5">
      <pivotArea dataOnly="0" labelOnly="1" outline="0" axis="axisValues" fieldPosition="0"/>
    </format>
    <format dxfId="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7">
      <pivotArea dataOnly="0" outline="0" fieldPosition="0">
        <references count="1">
          <reference field="4294967294" count="1">
            <x v="4"/>
          </reference>
        </references>
      </pivotArea>
    </format>
    <format dxfId="8">
      <pivotArea field="2" type="button" dataOnly="0" labelOnly="1" outline="0" axis="axisRow" fieldPosition="0"/>
    </format>
    <format dxfId="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0">
      <pivotArea field="2" type="button" dataOnly="0" labelOnly="1" outline="0" axis="axisRow" fieldPosition="0"/>
    </format>
    <format dxfId="1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2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3">
      <pivotArea field="2" type="button" dataOnly="0" labelOnly="1" outline="0" axis="axisRow" fieldPosition="0"/>
    </format>
    <format dxfId="14">
      <pivotArea dataOnly="0" labelOnly="1" fieldPosition="0">
        <references count="1">
          <reference field="2" count="0"/>
        </references>
      </pivotArea>
    </format>
    <format dxfId="1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6">
      <pivotArea dataOnly="0" labelOnly="1" fieldPosition="0">
        <references count="1">
          <reference field="2" count="1">
            <x v="25"/>
          </reference>
        </references>
      </pivotArea>
    </format>
    <format dxfId="17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9">
      <pivotArea field="2" type="button" dataOnly="0" labelOnly="1" outline="0" axis="axisRow" fieldPosition="0"/>
    </format>
    <format dxfId="20">
      <pivotArea outline="0" collapsedLevelsAreSubtotals="1" fieldPosition="0">
        <references count="1">
          <reference field="4294967294" count="4" selected="0">
            <x v="0"/>
            <x v="1"/>
            <x v="2"/>
            <x v="3"/>
          </reference>
        </references>
      </pivotArea>
    </format>
    <format dxfId="21">
      <pivotArea outline="0" collapsedLevelsAreSubtotals="1" fieldPosition="0">
        <references count="1">
          <reference field="4294967294" count="4" selected="0">
            <x v="0"/>
            <x v="1"/>
            <x v="2"/>
            <x v="3"/>
          </reference>
        </references>
      </pivotArea>
    </format>
    <format dxfId="2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outline="0" collapsedLevelsAreSubtotals="1" fieldPosition="0"/>
    </format>
    <format dxfId="2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25">
      <pivotArea outline="0" collapsedLevelsAreSubtotals="1" fieldPosition="0"/>
    </format>
    <format dxfId="26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27">
      <pivotArea type="all" dataOnly="0" outline="0" fieldPosition="0"/>
    </format>
    <format dxfId="28">
      <pivotArea outline="0" collapsedLevelsAreSubtotals="1" fieldPosition="0"/>
    </format>
    <format dxfId="29">
      <pivotArea field="2" type="button" dataOnly="0" labelOnly="1" outline="0" axis="axisRow" fieldPosition="0"/>
    </format>
    <format dxfId="30">
      <pivotArea dataOnly="0" labelOnly="1" fieldPosition="0">
        <references count="1">
          <reference field="2" count="0"/>
        </references>
      </pivotArea>
    </format>
    <format dxfId="31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32">
      <pivotArea outline="0" collapsedLevelsAreSubtotals="1" fieldPosition="0">
        <references count="1">
          <reference field="4294967294" count="1" selected="0">
            <x v="5"/>
          </reference>
        </references>
      </pivotArea>
    </format>
    <format dxfId="3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4">
      <pivotArea field="2" type="button" dataOnly="0" labelOnly="1" outline="0" axis="axisRow" fieldPosition="0"/>
    </format>
    <format dxfId="35">
      <pivotArea dataOnly="0" labelOnly="1" fieldPosition="0">
        <references count="1">
          <reference field="2" count="0"/>
        </references>
      </pivotArea>
    </format>
    <format dxfId="36">
      <pivotArea outline="0" collapsedLevelsAreSubtotals="1" fieldPosition="0">
        <references count="1">
          <reference field="4294967294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53F708-C696-4E24-9D2D-874E44E150EE}" name="PivotTable1" cacheId="16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outline="1" outlineData="1" multipleFieldFilters="0" rowHeaderCaption="Event">
  <location ref="B4:C16" firstHeaderRow="1" firstDataRow="1" firstDataCol="1" rowPageCount="1" colPageCount="1"/>
  <pivotFields count="20">
    <pivotField axis="axisRow" showAll="0">
      <items count="8">
        <item m="1" x="4"/>
        <item x="2"/>
        <item m="1" x="3"/>
        <item m="1" x="6"/>
        <item m="1" x="5"/>
        <item sd="0" x="0"/>
        <item x="1"/>
        <item t="default"/>
      </items>
    </pivotField>
    <pivotField showAll="0"/>
    <pivotField axis="axisPage" showAll="0">
      <items count="53">
        <item m="1" x="21"/>
        <item m="1" x="40"/>
        <item m="1" x="23"/>
        <item m="1" x="35"/>
        <item x="4"/>
        <item m="1" x="16"/>
        <item m="1" x="24"/>
        <item m="1" x="41"/>
        <item m="1" x="18"/>
        <item m="1" x="30"/>
        <item x="1"/>
        <item m="1" x="45"/>
        <item m="1" x="34"/>
        <item x="11"/>
        <item m="1" x="42"/>
        <item m="1" x="31"/>
        <item m="1" x="29"/>
        <item m="1" x="44"/>
        <item m="1" x="51"/>
        <item m="1" x="19"/>
        <item m="1" x="50"/>
        <item m="1" x="46"/>
        <item m="1" x="27"/>
        <item m="1" x="38"/>
        <item m="1" x="15"/>
        <item m="1" x="47"/>
        <item m="1" x="33"/>
        <item x="7"/>
        <item m="1" x="26"/>
        <item m="1" x="37"/>
        <item m="1" x="36"/>
        <item m="1" x="43"/>
        <item m="1" x="28"/>
        <item m="1" x="49"/>
        <item m="1" x="48"/>
        <item x="5"/>
        <item m="1" x="20"/>
        <item m="1" x="22"/>
        <item m="1" x="39"/>
        <item m="1" x="25"/>
        <item x="6"/>
        <item m="1" x="17"/>
        <item x="2"/>
        <item m="1" x="32"/>
        <item x="0"/>
        <item x="3"/>
        <item x="8"/>
        <item x="9"/>
        <item m="1" x="12"/>
        <item m="1" x="13"/>
        <item m="1" x="14"/>
        <item x="10"/>
        <item t="default"/>
      </items>
    </pivotField>
    <pivotField showAll="0"/>
    <pivotField axis="axisRow" showAll="0">
      <items count="268">
        <item m="1" x="72"/>
        <item m="1" x="161"/>
        <item m="1" x="162"/>
        <item m="1" x="88"/>
        <item m="1" x="165"/>
        <item m="1" x="92"/>
        <item m="1" x="166"/>
        <item m="1" x="93"/>
        <item m="1" x="248"/>
        <item m="1" x="169"/>
        <item m="1" x="174"/>
        <item m="1" x="179"/>
        <item m="1" x="176"/>
        <item m="1" x="177"/>
        <item m="1" x="184"/>
        <item m="1" x="94"/>
        <item m="1" x="98"/>
        <item m="1" x="180"/>
        <item m="1" x="167"/>
        <item m="1" x="54"/>
        <item m="1" x="101"/>
        <item m="1" x="105"/>
        <item m="1" x="104"/>
        <item m="1" x="188"/>
        <item m="1" x="58"/>
        <item m="1" x="186"/>
        <item m="1" x="187"/>
        <item m="1" x="238"/>
        <item m="1" x="243"/>
        <item m="1" x="244"/>
        <item m="1" x="175"/>
        <item m="1" x="190"/>
        <item m="1" x="183"/>
        <item m="1" x="195"/>
        <item m="1" x="194"/>
        <item m="1" x="252"/>
        <item m="1" x="251"/>
        <item m="1" x="199"/>
        <item m="1" x="196"/>
        <item m="1" x="206"/>
        <item m="1" x="253"/>
        <item m="1" x="205"/>
        <item m="1" x="90"/>
        <item m="1" x="65"/>
        <item m="1" x="115"/>
        <item m="1" x="61"/>
        <item m="1" x="62"/>
        <item m="1" x="64"/>
        <item m="1" x="182"/>
        <item m="1" x="185"/>
        <item m="1" x="207"/>
        <item m="1" x="209"/>
        <item m="1" x="71"/>
        <item m="1" x="70"/>
        <item m="1" x="68"/>
        <item m="1" x="210"/>
        <item m="1" x="181"/>
        <item m="1" x="191"/>
        <item m="1" x="112"/>
        <item m="1" x="114"/>
        <item m="1" x="119"/>
        <item m="1" x="178"/>
        <item m="1" x="192"/>
        <item m="1" x="211"/>
        <item m="1" x="120"/>
        <item m="1" x="121"/>
        <item m="1" x="126"/>
        <item m="1" x="127"/>
        <item m="1" x="129"/>
        <item m="1" x="170"/>
        <item m="1" x="172"/>
        <item m="1" x="103"/>
        <item m="1" x="131"/>
        <item m="1" x="213"/>
        <item m="1" x="132"/>
        <item m="1" x="250"/>
        <item m="1" x="245"/>
        <item m="1" x="254"/>
        <item m="1" x="133"/>
        <item m="1" x="255"/>
        <item m="1" x="259"/>
        <item m="1" x="135"/>
        <item m="1" x="256"/>
        <item m="1" x="260"/>
        <item m="1" x="99"/>
        <item m="1" x="122"/>
        <item m="1" x="140"/>
        <item m="1" x="141"/>
        <item m="1" x="89"/>
        <item m="1" x="143"/>
        <item m="1" x="116"/>
        <item m="1" x="69"/>
        <item m="1" x="117"/>
        <item m="1" x="128"/>
        <item m="1" x="257"/>
        <item m="1" x="230"/>
        <item m="1" x="222"/>
        <item m="1" x="80"/>
        <item m="1" x="262"/>
        <item m="1" x="246"/>
        <item m="1" x="138"/>
        <item m="1" x="145"/>
        <item m="1" x="96"/>
        <item m="1" x="148"/>
        <item m="1" x="147"/>
        <item m="1" x="173"/>
        <item m="1" x="134"/>
        <item m="1" x="214"/>
        <item m="1" x="137"/>
        <item m="1" x="149"/>
        <item m="1" x="59"/>
        <item m="1" x="219"/>
        <item m="1" x="82"/>
        <item m="1" x="227"/>
        <item m="1" x="224"/>
        <item m="1" x="151"/>
        <item m="1" x="97"/>
        <item m="1" x="66"/>
        <item m="1" x="63"/>
        <item m="1" x="139"/>
        <item m="1" x="153"/>
        <item m="1" x="150"/>
        <item m="1" x="83"/>
        <item m="1" x="84"/>
        <item m="1" x="168"/>
        <item m="1" x="100"/>
        <item m="1" x="247"/>
        <item m="1" x="200"/>
        <item m="1" x="204"/>
        <item m="1" x="258"/>
        <item m="1" x="79"/>
        <item m="1" x="146"/>
        <item m="1" x="223"/>
        <item m="1" x="85"/>
        <item m="1" x="228"/>
        <item m="1" x="106"/>
        <item m="1" x="136"/>
        <item m="1" x="159"/>
        <item m="1" x="164"/>
        <item m="1" x="130"/>
        <item m="1" x="125"/>
        <item m="1" x="157"/>
        <item m="1" x="229"/>
        <item m="1" x="91"/>
        <item m="1" x="60"/>
        <item m="1" x="198"/>
        <item m="1" x="202"/>
        <item m="1" x="118"/>
        <item m="1" x="215"/>
        <item m="1" x="261"/>
        <item m="1" x="78"/>
        <item m="1" x="144"/>
        <item m="1" x="86"/>
        <item m="1" x="158"/>
        <item m="1" x="220"/>
        <item m="1" x="231"/>
        <item m="1" x="95"/>
        <item m="1" x="55"/>
        <item m="1" x="56"/>
        <item m="1" x="123"/>
        <item m="1" x="142"/>
        <item m="1" x="152"/>
        <item m="1" x="81"/>
        <item m="1" x="87"/>
        <item m="1" x="160"/>
        <item m="1" x="249"/>
        <item m="1" x="263"/>
        <item m="1" x="264"/>
        <item m="1" x="265"/>
        <item m="1" x="266"/>
        <item m="1" x="221"/>
        <item m="1" x="163"/>
        <item m="1" x="113"/>
        <item m="1" x="235"/>
        <item m="1" x="226"/>
        <item m="1" x="156"/>
        <item m="1" x="193"/>
        <item m="1" x="208"/>
        <item m="1" x="212"/>
        <item m="1" x="124"/>
        <item m="1" x="154"/>
        <item m="1" x="155"/>
        <item x="53"/>
        <item m="1" x="171"/>
        <item m="1" x="236"/>
        <item m="1" x="237"/>
        <item m="1" x="189"/>
        <item m="1" x="57"/>
        <item m="1" x="239"/>
        <item m="1" x="240"/>
        <item m="1" x="241"/>
        <item m="1" x="242"/>
        <item m="1" x="197"/>
        <item m="1" x="201"/>
        <item m="1" x="203"/>
        <item m="1" x="67"/>
        <item m="1" x="73"/>
        <item m="1" x="74"/>
        <item m="1" x="75"/>
        <item m="1" x="76"/>
        <item m="1" x="77"/>
        <item m="1" x="216"/>
        <item m="1" x="217"/>
        <item m="1" x="218"/>
        <item m="1" x="225"/>
        <item m="1" x="232"/>
        <item m="1" x="233"/>
        <item m="1" x="234"/>
        <item m="1" x="102"/>
        <item m="1" x="107"/>
        <item m="1" x="108"/>
        <item m="1" x="109"/>
        <item m="1" x="110"/>
        <item m="1" x="11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">
        <item x="0"/>
        <item x="4"/>
        <item x="2"/>
        <item x="3"/>
        <item x="5"/>
        <item x="1"/>
        <item m="1" x="6"/>
        <item t="default"/>
      </items>
    </pivotField>
    <pivotField showAll="0"/>
    <pivotField showAll="0"/>
    <pivotField dataField="1" numFmtId="2" showAll="0"/>
    <pivotField showAll="0"/>
    <pivotField showAll="0"/>
    <pivotField showAll="0"/>
  </pivotFields>
  <rowFields count="3">
    <field x="0"/>
    <field x="13"/>
    <field x="4"/>
  </rowFields>
  <rowItems count="12">
    <i>
      <x v="5"/>
    </i>
    <i>
      <x v="6"/>
    </i>
    <i r="1">
      <x/>
    </i>
    <i r="2">
      <x v="246"/>
    </i>
    <i r="2">
      <x v="250"/>
    </i>
    <i r="2">
      <x v="254"/>
    </i>
    <i r="1">
      <x v="1"/>
    </i>
    <i r="2">
      <x v="257"/>
    </i>
    <i r="1">
      <x v="2"/>
    </i>
    <i r="2">
      <x v="261"/>
    </i>
    <i r="1">
      <x v="3"/>
    </i>
    <i r="2">
      <x v="266"/>
    </i>
  </rowItems>
  <colItems count="1">
    <i/>
  </colItems>
  <pageFields count="1">
    <pageField fld="2" item="10" hier="-1"/>
  </pageFields>
  <dataFields count="1">
    <dataField name="Ranking Points" fld="16" baseField="11" baseItem="0" numFmtId="2"/>
  </dataFields>
  <formats count="56">
    <format dxfId="118">
      <pivotArea dataOnly="0" labelOnly="1" outline="0" fieldPosition="0">
        <references count="1">
          <reference field="2" count="1">
            <x v="0"/>
          </reference>
        </references>
      </pivotArea>
    </format>
    <format dxfId="117">
      <pivotArea dataOnly="0" labelOnly="1" outline="0" fieldPosition="0">
        <references count="1">
          <reference field="2" count="1">
            <x v="0"/>
          </reference>
        </references>
      </pivotArea>
    </format>
    <format dxfId="116">
      <pivotArea dataOnly="0" labelOnly="1" outline="0" fieldPosition="0">
        <references count="1">
          <reference field="2" count="1">
            <x v="0"/>
          </reference>
        </references>
      </pivotArea>
    </format>
    <format dxfId="115">
      <pivotArea type="all" dataOnly="0" outline="0" fieldPosition="0"/>
    </format>
    <format dxfId="114">
      <pivotArea outline="0" collapsedLevelsAreSubtotals="1" fieldPosition="0"/>
    </format>
    <format dxfId="113">
      <pivotArea field="0" type="button" dataOnly="0" labelOnly="1" outline="0" axis="axisRow" fieldPosition="0"/>
    </format>
    <format dxfId="112">
      <pivotArea dataOnly="0" labelOnly="1" fieldPosition="0">
        <references count="1">
          <reference field="0" count="2">
            <x v="0"/>
            <x v="3"/>
          </reference>
        </references>
      </pivotArea>
    </format>
    <format dxfId="111">
      <pivotArea dataOnly="0" labelOnly="1" fieldPosition="0">
        <references count="2">
          <reference field="0" count="1" selected="0">
            <x v="0"/>
          </reference>
          <reference field="13" count="3">
            <x v="0"/>
            <x v="1"/>
            <x v="5"/>
          </reference>
        </references>
      </pivotArea>
    </format>
    <format dxfId="110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109">
      <pivotArea dataOnly="0" labelOnly="1" fieldPosition="0">
        <references count="3">
          <reference field="0" count="1" selected="0">
            <x v="0"/>
          </reference>
          <reference field="4" count="3">
            <x v="3"/>
            <x v="42"/>
            <x v="88"/>
          </reference>
          <reference field="13" count="1" selected="0">
            <x v="0"/>
          </reference>
        </references>
      </pivotArea>
    </format>
    <format dxfId="108">
      <pivotArea dataOnly="0" labelOnly="1" fieldPosition="0">
        <references count="3">
          <reference field="0" count="1" selected="0">
            <x v="0"/>
          </reference>
          <reference field="4" count="1">
            <x v="143"/>
          </reference>
          <reference field="13" count="1" selected="0">
            <x v="1"/>
          </reference>
        </references>
      </pivotArea>
    </format>
    <format dxfId="107">
      <pivotArea dataOnly="0" labelOnly="1" fieldPosition="0">
        <references count="3">
          <reference field="0" count="1" selected="0">
            <x v="0"/>
          </reference>
          <reference field="4" count="2">
            <x v="5"/>
            <x v="7"/>
          </reference>
          <reference field="13" count="1" selected="0">
            <x v="5"/>
          </reference>
        </references>
      </pivotArea>
    </format>
    <format dxfId="106">
      <pivotArea dataOnly="0" labelOnly="1" fieldPosition="0">
        <references count="3">
          <reference field="0" count="1" selected="0">
            <x v="3"/>
          </reference>
          <reference field="4" count="3">
            <x v="2"/>
            <x v="138"/>
            <x v="171"/>
          </reference>
          <reference field="13" count="1" selected="0">
            <x v="0"/>
          </reference>
        </references>
      </pivotArea>
    </format>
    <format dxfId="105">
      <pivotArea dataOnly="0" labelOnly="1" fieldPosition="0">
        <references count="3">
          <reference field="0" count="1" selected="0">
            <x v="3"/>
          </reference>
          <reference field="4" count="1">
            <x v="18"/>
          </reference>
          <reference field="13" count="1" selected="0">
            <x v="3"/>
          </reference>
        </references>
      </pivotArea>
    </format>
    <format dxfId="104">
      <pivotArea dataOnly="0" labelOnly="1" fieldPosition="0">
        <references count="3">
          <reference field="0" count="1" selected="0">
            <x v="3"/>
          </reference>
          <reference field="4" count="1">
            <x v="4"/>
          </reference>
          <reference field="13" count="1" selected="0">
            <x v="1"/>
          </reference>
        </references>
      </pivotArea>
    </format>
    <format dxfId="103">
      <pivotArea dataOnly="0" labelOnly="1" fieldPosition="0">
        <references count="3">
          <reference field="0" count="1" selected="0">
            <x v="3"/>
          </reference>
          <reference field="4" count="1">
            <x v="6"/>
          </reference>
          <reference field="13" count="1" selected="0">
            <x v="2"/>
          </reference>
        </references>
      </pivotArea>
    </format>
    <format dxfId="102">
      <pivotArea dataOnly="0" labelOnly="1" outline="0" axis="axisValues" fieldPosition="0"/>
    </format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axis="axisRow" fieldPosition="0"/>
    </format>
    <format dxfId="98">
      <pivotArea dataOnly="0" labelOnly="1" fieldPosition="0">
        <references count="1">
          <reference field="0" count="3">
            <x v="0"/>
            <x v="2"/>
            <x v="3"/>
          </reference>
        </references>
      </pivotArea>
    </format>
    <format dxfId="97">
      <pivotArea dataOnly="0" labelOnly="1" fieldPosition="0">
        <references count="2">
          <reference field="0" count="1" selected="0">
            <x v="0"/>
          </reference>
          <reference field="13" count="4">
            <x v="0"/>
            <x v="1"/>
            <x v="2"/>
            <x v="3"/>
          </reference>
        </references>
      </pivotArea>
    </format>
    <format dxfId="96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95">
      <pivotArea dataOnly="0" labelOnly="1" fieldPosition="0">
        <references count="2">
          <reference field="0" count="1" selected="0">
            <x v="2"/>
          </reference>
          <reference field="13" count="4">
            <x v="0"/>
            <x v="1"/>
            <x v="2"/>
            <x v="3"/>
          </reference>
        </references>
      </pivotArea>
    </format>
    <format dxfId="94">
      <pivotArea dataOnly="0" labelOnly="1" fieldPosition="0">
        <references count="3">
          <reference field="0" count="1" selected="0">
            <x v="0"/>
          </reference>
          <reference field="4" count="3">
            <x v="104"/>
            <x v="156"/>
            <x v="159"/>
          </reference>
          <reference field="13" count="1" selected="0">
            <x v="0"/>
          </reference>
        </references>
      </pivotArea>
    </format>
    <format dxfId="93">
      <pivotArea dataOnly="0" labelOnly="1" fieldPosition="0">
        <references count="3">
          <reference field="0" count="1" selected="0">
            <x v="0"/>
          </reference>
          <reference field="4" count="1">
            <x v="161"/>
          </reference>
          <reference field="13" count="1" selected="0">
            <x v="3"/>
          </reference>
        </references>
      </pivotArea>
    </format>
    <format dxfId="92">
      <pivotArea dataOnly="0" labelOnly="1" fieldPosition="0">
        <references count="3">
          <reference field="0" count="1" selected="0">
            <x v="0"/>
          </reference>
          <reference field="4" count="1">
            <x v="160"/>
          </reference>
          <reference field="13" count="1" selected="0">
            <x v="1"/>
          </reference>
        </references>
      </pivotArea>
    </format>
    <format dxfId="91">
      <pivotArea dataOnly="0" labelOnly="1" fieldPosition="0">
        <references count="3">
          <reference field="0" count="1" selected="0">
            <x v="0"/>
          </reference>
          <reference field="4" count="1">
            <x v="164"/>
          </reference>
          <reference field="13" count="1" selected="0">
            <x v="2"/>
          </reference>
        </references>
      </pivotArea>
    </format>
    <format dxfId="90">
      <pivotArea dataOnly="0" labelOnly="1" fieldPosition="0">
        <references count="3">
          <reference field="0" count="1" selected="0">
            <x v="3"/>
          </reference>
          <reference field="4" count="3">
            <x v="203"/>
            <x v="204"/>
            <x v="205"/>
          </reference>
          <reference field="13" count="1" selected="0">
            <x v="0"/>
          </reference>
        </references>
      </pivotArea>
    </format>
    <format dxfId="89">
      <pivotArea dataOnly="0" labelOnly="1" fieldPosition="0">
        <references count="3">
          <reference field="0" count="1" selected="0">
            <x v="3"/>
          </reference>
          <reference field="4" count="1">
            <x v="206"/>
          </reference>
          <reference field="13" count="1" selected="0">
            <x v="3"/>
          </reference>
        </references>
      </pivotArea>
    </format>
    <format dxfId="88">
      <pivotArea dataOnly="0" labelOnly="1" fieldPosition="0">
        <references count="3">
          <reference field="0" count="1" selected="0">
            <x v="3"/>
          </reference>
          <reference field="4" count="1">
            <x v="207"/>
          </reference>
          <reference field="13" count="1" selected="0">
            <x v="1"/>
          </reference>
        </references>
      </pivotArea>
    </format>
    <format dxfId="87">
      <pivotArea dataOnly="0" labelOnly="1" fieldPosition="0">
        <references count="3">
          <reference field="0" count="1" selected="0">
            <x v="3"/>
          </reference>
          <reference field="4" count="1">
            <x v="186"/>
          </reference>
          <reference field="13" count="1" selected="0">
            <x v="2"/>
          </reference>
        </references>
      </pivotArea>
    </format>
    <format dxfId="86">
      <pivotArea dataOnly="0" labelOnly="1" fieldPosition="0">
        <references count="3">
          <reference field="0" count="1" selected="0">
            <x v="2"/>
          </reference>
          <reference field="4" count="4">
            <x v="47"/>
            <x v="123"/>
            <x v="157"/>
            <x v="162"/>
          </reference>
          <reference field="13" count="1" selected="0">
            <x v="0"/>
          </reference>
        </references>
      </pivotArea>
    </format>
    <format dxfId="85">
      <pivotArea dataOnly="0" labelOnly="1" fieldPosition="0">
        <references count="3">
          <reference field="0" count="1" selected="0">
            <x v="2"/>
          </reference>
          <reference field="4" count="1">
            <x v="97"/>
          </reference>
          <reference field="13" count="1" selected="0">
            <x v="3"/>
          </reference>
        </references>
      </pivotArea>
    </format>
    <format dxfId="84">
      <pivotArea dataOnly="0" labelOnly="1" fieldPosition="0">
        <references count="3">
          <reference field="0" count="1" selected="0">
            <x v="2"/>
          </reference>
          <reference field="4" count="1">
            <x v="163"/>
          </reference>
          <reference field="13" count="1" selected="0">
            <x v="1"/>
          </reference>
        </references>
      </pivotArea>
    </format>
    <format dxfId="83">
      <pivotArea dataOnly="0" labelOnly="1" fieldPosition="0">
        <references count="3">
          <reference field="0" count="1" selected="0">
            <x v="2"/>
          </reference>
          <reference field="4" count="1">
            <x v="158"/>
          </reference>
          <reference field="13" count="1" selected="0">
            <x v="2"/>
          </reference>
        </references>
      </pivotArea>
    </format>
    <format dxfId="82">
      <pivotArea dataOnly="0" labelOnly="1" outline="0" axis="axisValues" fieldPosition="0"/>
    </format>
    <format dxfId="81">
      <pivotArea type="all" dataOnly="0" outline="0" fieldPosition="0"/>
    </format>
    <format dxfId="80">
      <pivotArea outline="0" collapsedLevelsAreSubtotals="1" fieldPosition="0"/>
    </format>
    <format dxfId="79">
      <pivotArea field="0" type="button" dataOnly="0" labelOnly="1" outline="0" axis="axisRow" fieldPosition="0"/>
    </format>
    <format dxfId="78">
      <pivotArea dataOnly="0" labelOnly="1" fieldPosition="0">
        <references count="1">
          <reference field="0" count="3">
            <x v="0"/>
            <x v="2"/>
            <x v="3"/>
          </reference>
        </references>
      </pivotArea>
    </format>
    <format dxfId="77">
      <pivotArea dataOnly="0" labelOnly="1" fieldPosition="0">
        <references count="2">
          <reference field="0" count="1" selected="0">
            <x v="0"/>
          </reference>
          <reference field="13" count="4">
            <x v="0"/>
            <x v="1"/>
            <x v="2"/>
            <x v="3"/>
          </reference>
        </references>
      </pivotArea>
    </format>
    <format dxfId="76">
      <pivotArea dataOnly="0" labelOnly="1" fieldPosition="0">
        <references count="2">
          <reference field="0" count="1" selected="0">
            <x v="2"/>
          </reference>
          <reference field="13" count="3">
            <x v="0"/>
            <x v="1"/>
            <x v="5"/>
          </reference>
        </references>
      </pivotArea>
    </format>
    <format dxfId="75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74">
      <pivotArea dataOnly="0" labelOnly="1" fieldPosition="0">
        <references count="3">
          <reference field="0" count="1" selected="0">
            <x v="0"/>
          </reference>
          <reference field="4" count="3">
            <x v="66"/>
            <x v="137"/>
            <x v="153"/>
          </reference>
          <reference field="13" count="1" selected="0">
            <x v="0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4" count="1">
            <x v="143"/>
          </reference>
          <reference field="13" count="1" selected="0">
            <x v="1"/>
          </reference>
        </references>
      </pivotArea>
    </format>
    <format dxfId="72">
      <pivotArea dataOnly="0" labelOnly="1" fieldPosition="0">
        <references count="3">
          <reference field="0" count="1" selected="0">
            <x v="0"/>
          </reference>
          <reference field="4" count="1">
            <x v="147"/>
          </reference>
          <reference field="13" count="1" selected="0">
            <x v="2"/>
          </reference>
        </references>
      </pivotArea>
    </format>
    <format dxfId="71">
      <pivotArea dataOnly="0" labelOnly="1" fieldPosition="0">
        <references count="3">
          <reference field="0" count="1" selected="0">
            <x v="0"/>
          </reference>
          <reference field="4" count="1">
            <x v="151"/>
          </reference>
          <reference field="13" count="1" selected="0">
            <x v="3"/>
          </reference>
        </references>
      </pivotArea>
    </format>
    <format dxfId="70">
      <pivotArea dataOnly="0" labelOnly="1" fieldPosition="0">
        <references count="3">
          <reference field="0" count="1" selected="0">
            <x v="2"/>
          </reference>
          <reference field="4" count="4">
            <x v="54"/>
            <x v="150"/>
            <x v="152"/>
            <x v="197"/>
          </reference>
          <reference field="13" count="1" selected="0">
            <x v="0"/>
          </reference>
        </references>
      </pivotArea>
    </format>
    <format dxfId="69">
      <pivotArea dataOnly="0" labelOnly="1" fieldPosition="0">
        <references count="3">
          <reference field="0" count="1" selected="0">
            <x v="2"/>
          </reference>
          <reference field="4" count="1">
            <x v="144"/>
          </reference>
          <reference field="13" count="1" selected="0">
            <x v="1"/>
          </reference>
        </references>
      </pivotArea>
    </format>
    <format dxfId="68">
      <pivotArea dataOnly="0" labelOnly="1" fieldPosition="0">
        <references count="3">
          <reference field="0" count="1" selected="0">
            <x v="2"/>
          </reference>
          <reference field="4" count="2">
            <x v="122"/>
            <x v="133"/>
          </reference>
          <reference field="13" count="1" selected="0">
            <x v="5"/>
          </reference>
        </references>
      </pivotArea>
    </format>
    <format dxfId="67">
      <pivotArea dataOnly="0" labelOnly="1" fieldPosition="0">
        <references count="3">
          <reference field="0" count="1" selected="0">
            <x v="3"/>
          </reference>
          <reference field="4" count="3">
            <x v="145"/>
            <x v="146"/>
            <x v="201"/>
          </reference>
          <reference field="13" count="1" selected="0">
            <x v="0"/>
          </reference>
        </references>
      </pivotArea>
    </format>
    <format dxfId="66">
      <pivotArea dataOnly="0" labelOnly="1" fieldPosition="0">
        <references count="3">
          <reference field="0" count="1" selected="0">
            <x v="3"/>
          </reference>
          <reference field="4" count="1">
            <x v="148"/>
          </reference>
          <reference field="13" count="1" selected="0">
            <x v="1"/>
          </reference>
        </references>
      </pivotArea>
    </format>
    <format dxfId="65">
      <pivotArea dataOnly="0" labelOnly="1" fieldPosition="0">
        <references count="3">
          <reference field="0" count="1" selected="0">
            <x v="3"/>
          </reference>
          <reference field="4" count="1">
            <x v="202"/>
          </reference>
          <reference field="13" count="1" selected="0">
            <x v="2"/>
          </reference>
        </references>
      </pivotArea>
    </format>
    <format dxfId="64">
      <pivotArea dataOnly="0" labelOnly="1" fieldPosition="0">
        <references count="3">
          <reference field="0" count="1" selected="0">
            <x v="3"/>
          </reference>
          <reference field="4" count="1">
            <x v="134"/>
          </reference>
          <reference field="13" count="1" selected="0">
            <x v="3"/>
          </reference>
        </references>
      </pivotArea>
    </format>
    <format dxfId="6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F067E8-707F-4FB8-977C-38403426F040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B5:E35" firstHeaderRow="0" firstDataRow="1" firstDataCol="1" rowPageCount="2" colPageCount="1"/>
  <pivotFields count="19">
    <pivotField axis="axisPage" showAll="0">
      <items count="5">
        <item x="2"/>
        <item x="1"/>
        <item x="3"/>
        <item x="0"/>
        <item t="default"/>
      </items>
    </pivotField>
    <pivotField axis="axisPage" showAll="0">
      <items count="9">
        <item x="0"/>
        <item x="7"/>
        <item x="5"/>
        <item x="2"/>
        <item x="3"/>
        <item x="1"/>
        <item x="6"/>
        <item x="4"/>
        <item t="default"/>
      </items>
    </pivotField>
    <pivotField axis="axisRow" showAll="0" sortType="ascending">
      <items count="39">
        <item x="0"/>
        <item x="1"/>
        <item x="2"/>
        <item x="3"/>
        <item m="1" x="33"/>
        <item x="4"/>
        <item m="1" x="30"/>
        <item x="5"/>
        <item x="6"/>
        <item x="7"/>
        <item x="8"/>
        <item x="9"/>
        <item x="10"/>
        <item x="11"/>
        <item x="12"/>
        <item m="1" x="34"/>
        <item m="1" x="32"/>
        <item x="13"/>
        <item x="14"/>
        <item m="1" x="31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m="1" x="35"/>
        <item x="28"/>
        <item x="29"/>
        <item m="1" x="36"/>
        <item m="1" x="37"/>
        <item t="default"/>
      </items>
    </pivotField>
    <pivotField showAll="0"/>
    <pivotField showAll="0"/>
    <pivotField dataField="1" showAll="0"/>
    <pivotField dataField="1" showAll="0"/>
    <pivotField dataField="1"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30">
    <i>
      <x/>
    </i>
    <i>
      <x v="1"/>
    </i>
    <i>
      <x v="2"/>
    </i>
    <i>
      <x v="3"/>
    </i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5"/>
    </i>
  </rowItems>
  <colFields count="1">
    <field x="-2"/>
  </colFields>
  <colItems count="3">
    <i>
      <x/>
    </i>
    <i i="1">
      <x v="1"/>
    </i>
    <i i="2">
      <x v="2"/>
    </i>
  </colItems>
  <pageFields count="2">
    <pageField fld="0" hier="-1"/>
    <pageField fld="1" hier="-1"/>
  </pageFields>
  <dataFields count="3">
    <dataField name="Sum of Scored" fld="5" baseField="0" baseItem="0"/>
    <dataField name="Sum of Let In" fld="6" baseField="0" baseItem="0"/>
    <dataField name="Sum of Goal Difference" fld="7" baseField="0" baseItem="0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CF0AFC-92D0-402C-AE97-376C98187A1A}" name="Enhanced_2027_Rankings" displayName="Enhanced_2027_Rankings" ref="B38:J68" totalsRowShown="0" headerRowDxfId="128">
  <autoFilter ref="B38:J68" xr:uid="{3CCF0AFC-92D0-402C-AE97-376C98187A1A}"/>
  <sortState xmlns:xlrd2="http://schemas.microsoft.com/office/spreadsheetml/2017/richdata2" ref="B39:J68">
    <sortCondition descending="1" ref="I38:I68"/>
  </sortState>
  <tableColumns count="9">
    <tableColumn id="1" xr3:uid="{181B6928-CA62-41CB-8734-A6C9B0072824}" name="Ranking" dataDxfId="127">
      <calculatedColumnFormula>IF($C3="","",$B3)</calculatedColumnFormula>
    </tableColumn>
    <tableColumn id="2" xr3:uid="{36A3033B-339B-49AD-8A9D-E912278D24CE}" name="Team" dataDxfId="126">
      <calculatedColumnFormula>IF($C3="","",$C3)</calculatedColumnFormula>
    </tableColumn>
    <tableColumn id="3" xr3:uid="{3051A34F-6E87-4C95-9722-006FFD355B4E}" name="Games Played" dataDxfId="125">
      <calculatedColumnFormula>IF($C3="","",$D3)</calculatedColumnFormula>
    </tableColumn>
    <tableColumn id="4" xr3:uid="{5C6D3168-C9B5-4A47-8A19-5BFB10F379EB}" name="Goals Scored" dataDxfId="124">
      <calculatedColumnFormula>IF($C3="","",$E3)</calculatedColumnFormula>
    </tableColumn>
    <tableColumn id="5" xr3:uid="{6AE0DDC5-66E0-4CC3-AB8B-C1D9175211C5}" name="Goals Conceded" dataDxfId="123">
      <calculatedColumnFormula>IF($C3="","",$F3)</calculatedColumnFormula>
    </tableColumn>
    <tableColumn id="6" xr3:uid="{D188092F-CCD3-4AEC-AA50-DEB7779CF87C}" name="Goal Difference." dataDxfId="122">
      <calculatedColumnFormula>IF($C3="","",$G3)</calculatedColumnFormula>
    </tableColumn>
    <tableColumn id="7" xr3:uid="{E38C3C94-2736-4CBD-BD48-0F35E33DEB00}" name="Average Goal Difference per Game" dataDxfId="121">
      <calculatedColumnFormula>IF($C3="","",IFERROR($G3/$D3,0))</calculatedColumnFormula>
    </tableColumn>
    <tableColumn id="8" xr3:uid="{1A0D3F4C-4AB1-47BD-B33C-809F38735003}" name="2027 Season Ranking Points" dataDxfId="120">
      <calculatedColumnFormula>IF($C3="","",$H3)</calculatedColumnFormula>
    </tableColumn>
    <tableColumn id="9" xr3:uid="{A70F9194-D00D-4230-AABB-1B17CC269F69}" name="Sum of 2027 Ranking Sort Value" dataDxfId="119">
      <calculatedColumnFormula>IF($C3="","",$I3)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4DB126-50D6-49AD-A171-AA9D20A5AEED}" name="MasterDataTbl" displayName="MasterDataTbl" ref="A2:U205" totalsRowShown="0" headerRowDxfId="62" headerRowBorderDxfId="61" tableBorderDxfId="60">
  <autoFilter ref="A2:U205" xr:uid="{C44DB126-50D6-49AD-A171-AA9D20A5AEED}"/>
  <tableColumns count="21">
    <tableColumn id="1" xr3:uid="{B1C1D0AC-BCEB-492D-BCB8-DF2D9AF2C432}" name="Event" dataDxfId="59"/>
    <tableColumn id="2" xr3:uid="{EE0CEA2C-941A-4384-940D-1D4F21C182C4}" name="Location" dataDxfId="58"/>
    <tableColumn id="3" xr3:uid="{4734ADC3-C6E3-4083-B11B-2B2B2E105955}" name="Team" dataDxfId="57"/>
    <tableColumn id="4" xr3:uid="{9512F615-81D8-4E89-ACCB-7506AFC2DF68}" name="Match ID" dataDxfId="56"/>
    <tableColumn id="5" xr3:uid="{A300D846-9735-4383-82AF-4ED7E2944F5D}" name="Match Result" dataDxfId="55"/>
    <tableColumn id="6" xr3:uid="{0B5233FE-0302-4EF5-AC55-F29A947C4A1D}" name="Goals Scored" dataDxfId="54">
      <calculatedColumnFormula>IF($I3="","",IF(TRIM(SUBSTITUTE($C3,CHAR(160)," "))=TRIM(SUBSTITUTE($I3,CHAR(160)," ")),$K3,$L3))</calculatedColumnFormula>
    </tableColumn>
    <tableColumn id="7" xr3:uid="{26A50AA9-B109-4D23-900D-C7DA6FAC5B0D}" name="Goals Conceded" dataDxfId="53">
      <calculatedColumnFormula>IF($I3="","",IF(TRIM(SUBSTITUTE($C3,CHAR(160)," "))=TRIM(SUBSTITUTE($I3,CHAR(160)," ")),$L3,$K3))</calculatedColumnFormula>
    </tableColumn>
    <tableColumn id="8" xr3:uid="{F13AB9AA-34F2-4BE5-A491-EE352F81A398}" name="Goal Difference" dataDxfId="52">
      <calculatedColumnFormula>F3-G3</calculatedColumnFormula>
    </tableColumn>
    <tableColumn id="9" xr3:uid="{18508CCC-4FC5-4E6F-9500-229816710BCE}" name="1st Team" dataDxfId="51">
      <calculatedColumnFormula>TRIM(LEFT(E3,FIND(" – ",E3)-1))</calculatedColumnFormula>
    </tableColumn>
    <tableColumn id="10" xr3:uid="{405C4C5B-E18F-455F-A61D-5ED669C26FFC}" name="Score" dataDxfId="50">
      <calculatedColumnFormula array="1">TRIM(RIGHT(E3,LEN(E3)-LOOKUP(2,1/(MID(E3,ROW($1:$60),1)=" "),ROW($1:$60))))</calculatedColumnFormula>
    </tableColumn>
    <tableColumn id="11" xr3:uid="{DFA62641-9066-4595-AD3A-D5094A34262F}" name="1st Goal Number" dataDxfId="49">
      <calculatedColumnFormula>VALUE(LEFT(J3,FIND("-",SUBSTITUTE(J3,":","-"))-1))</calculatedColumnFormula>
    </tableColumn>
    <tableColumn id="12" xr3:uid="{76E380BF-B3B6-4468-81A9-7415AC3792B0}" name="2nd Goal Number" dataDxfId="48">
      <calculatedColumnFormula>VALUE(RIGHT(SUBSTITUTE(J3,":","-"),LEN(SUBSTITUTE(J3,":","-"))-FIND("-",SUBSTITUTE(J3,":","-"))))</calculatedColumnFormula>
    </tableColumn>
    <tableColumn id="13" xr3:uid="{FDB498DF-ECFD-43EE-A26D-7E18135E405C}" name="Game for Average GD?" dataDxfId="47">
      <calculatedColumnFormula>IF(OR(O3="",ISNUMBER(IFERROR(SEARCH("special",O3),""))),0,1)</calculatedColumnFormula>
    </tableColumn>
    <tableColumn id="14" xr3:uid="{DB1F9BBC-804C-4A11-B7D5-56B80D1DDA8F}" name="Event Stage" dataDxfId="46"/>
    <tableColumn id="15" xr3:uid="{A62D08BC-B9C0-4073-AE78-83808D49D182}" name="Match Type" dataDxfId="45"/>
    <tableColumn id="16" xr3:uid="{31D829C1-CAF0-44DB-AA94-639C7A9FF461}" name="Result" dataDxfId="44"/>
    <tableColumn id="17" xr3:uid="{9F405A15-22D5-4D21-BA92-30DA8AA3D2BC}" name="Points" dataDxfId="43">
      <calculatedColumnFormula>IF(OR(O3="",P3=""),"",SUMIFS('1. Points System'!$E$3:$E$24,'1. Points System'!$C$3:$C$24,O3,'1. Points System'!$D$3:$D$24,P3))</calculatedColumnFormula>
    </tableColumn>
    <tableColumn id="18" xr3:uid="{BF810149-8C80-43EA-BD25-3A25E2E84D84}" name="2025 Total Points" dataDxfId="42"/>
    <tableColumn id="19" xr3:uid="{D4B26874-F398-4306-AFC1-00826A5614A5}" name="2026 Total Points" dataDxfId="41">
      <calculatedColumnFormula>Q3</calculatedColumnFormula>
    </tableColumn>
    <tableColumn id="20" xr3:uid="{D62DF862-1BBD-4E6C-BCB3-6662219BE707}" name="2027 Total Points" dataDxfId="40">
      <calculatedColumnFormula>S3/2</calculatedColumnFormula>
    </tableColumn>
    <tableColumn id="21" xr3:uid="{2D96759F-1021-47B9-AEB6-CAB592C67D4A}" name="2027 Ranking Sort Value" dataDxfId="0">
      <calculatedColumnFormula>MasterDataTbl[[#This Row],[2026 Total Points]]+(MasterDataTbl[[#This Row],[Goal Difference]]/1000)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6-05-07T15:13:09.38" personId="{8E3F57F9-E79C-4F31-A766-1420244998D8}" id="{62C697C8-63CF-47A2-A2A9-667629E9E72B}">
    <text xml:space="preserve">Step 1
Right click any number in:
2027 Season Ranking Points column
Choose:
Sort
→ More Sort Options
Choose:
Descending (Z to A) by:
Sum of 2027 Season Ranking Points
Press:
More Options
Make sure:
AutoSort is ON 
Press OK.
That gives you the primary sort.
Step 2: add the tiebreaker sort
This is the annoying Excel bit:
PivotTables do NOT naturally support true multi-column sorts very well.
So the BEST solution is actually this:
BEST PRACTICAL SOLUTION
Create a helper column in your source data called something like:
Ranking Sort Value
Formula:
=[@[2027 Season Ranking Points]]+([@[Goal Difference]]/1000)
Example:
29.25 points + GD 45
becomes: 
29.295 
while:
29.25 points + GD 19
becomes: 
29.269 
So the points remain dominant, but goal difference becomes the tiebreaker automatically.
Then:
Use THAT field in the PivotTable instead of the raw ranking points for sorting purposes.
You can still DISPLAY the original ranking points column.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B470-F15F-4EFA-B68D-D94E8AA3EE68}">
  <sheetPr>
    <tabColor theme="1"/>
  </sheetPr>
  <dimension ref="B2:E29"/>
  <sheetViews>
    <sheetView showGridLines="0" zoomScale="110" zoomScaleNormal="110" workbookViewId="0">
      <selection activeCell="C6" sqref="C6"/>
    </sheetView>
  </sheetViews>
  <sheetFormatPr defaultRowHeight="15" x14ac:dyDescent="0.25"/>
  <cols>
    <col min="1" max="1" width="8.7109375" customWidth="1"/>
    <col min="2" max="2" width="17.5703125" bestFit="1" customWidth="1"/>
    <col min="3" max="3" width="54.140625" customWidth="1"/>
    <col min="4" max="4" width="6.85546875" bestFit="1" customWidth="1"/>
    <col min="5" max="5" width="12.42578125" style="19" customWidth="1"/>
    <col min="7" max="7" width="38.5703125" bestFit="1" customWidth="1"/>
  </cols>
  <sheetData>
    <row r="2" spans="2:5" ht="31.5" x14ac:dyDescent="0.25">
      <c r="B2" s="31" t="s">
        <v>86</v>
      </c>
      <c r="C2" s="31" t="s">
        <v>10</v>
      </c>
      <c r="D2" s="31" t="s">
        <v>11</v>
      </c>
      <c r="E2" s="31" t="s">
        <v>87</v>
      </c>
    </row>
    <row r="3" spans="2:5" ht="17.100000000000001" customHeight="1" x14ac:dyDescent="0.25">
      <c r="B3" s="67" t="s">
        <v>84</v>
      </c>
      <c r="C3" s="33" t="s">
        <v>9</v>
      </c>
      <c r="D3" s="5" t="s">
        <v>3</v>
      </c>
      <c r="E3" s="35">
        <v>3</v>
      </c>
    </row>
    <row r="4" spans="2:5" ht="17.100000000000001" customHeight="1" x14ac:dyDescent="0.25">
      <c r="B4" s="67" t="s">
        <v>84</v>
      </c>
      <c r="C4" s="33" t="s">
        <v>9</v>
      </c>
      <c r="D4" s="5" t="s">
        <v>5</v>
      </c>
      <c r="E4" s="35">
        <v>1</v>
      </c>
    </row>
    <row r="5" spans="2:5" ht="17.100000000000001" customHeight="1" x14ac:dyDescent="0.25">
      <c r="B5" s="67" t="s">
        <v>84</v>
      </c>
      <c r="C5" s="33" t="s">
        <v>9</v>
      </c>
      <c r="D5" s="5" t="s">
        <v>4</v>
      </c>
      <c r="E5" s="35">
        <v>0</v>
      </c>
    </row>
    <row r="6" spans="2:5" ht="17.100000000000001" customHeight="1" x14ac:dyDescent="0.25">
      <c r="B6" s="67" t="s">
        <v>84</v>
      </c>
      <c r="C6" s="33" t="s">
        <v>7</v>
      </c>
      <c r="D6" s="5" t="s">
        <v>3</v>
      </c>
      <c r="E6" s="35">
        <v>3</v>
      </c>
    </row>
    <row r="7" spans="2:5" ht="17.100000000000001" customHeight="1" x14ac:dyDescent="0.25">
      <c r="B7" s="67" t="s">
        <v>84</v>
      </c>
      <c r="C7" s="33" t="s">
        <v>7</v>
      </c>
      <c r="D7" s="5" t="s">
        <v>4</v>
      </c>
      <c r="E7" s="35">
        <v>0</v>
      </c>
    </row>
    <row r="8" spans="2:5" ht="17.100000000000001" customHeight="1" x14ac:dyDescent="0.25">
      <c r="B8" s="67" t="s">
        <v>84</v>
      </c>
      <c r="C8" s="33" t="s">
        <v>13</v>
      </c>
      <c r="D8" s="5" t="s">
        <v>3</v>
      </c>
      <c r="E8" s="35">
        <v>2</v>
      </c>
    </row>
    <row r="9" spans="2:5" ht="17.100000000000001" customHeight="1" x14ac:dyDescent="0.25">
      <c r="B9" s="67" t="s">
        <v>84</v>
      </c>
      <c r="C9" s="33" t="s">
        <v>13</v>
      </c>
      <c r="D9" s="5" t="s">
        <v>4</v>
      </c>
      <c r="E9" s="35">
        <v>1</v>
      </c>
    </row>
    <row r="10" spans="2:5" ht="17.100000000000001" customHeight="1" x14ac:dyDescent="0.25">
      <c r="B10" s="67" t="s">
        <v>84</v>
      </c>
      <c r="C10" s="33" t="s">
        <v>30</v>
      </c>
      <c r="D10" s="5" t="s">
        <v>3</v>
      </c>
      <c r="E10" s="35">
        <v>4.5</v>
      </c>
    </row>
    <row r="11" spans="2:5" ht="17.100000000000001" customHeight="1" x14ac:dyDescent="0.25">
      <c r="B11" s="67" t="s">
        <v>84</v>
      </c>
      <c r="C11" s="33" t="s">
        <v>30</v>
      </c>
      <c r="D11" s="5" t="s">
        <v>4</v>
      </c>
      <c r="E11" s="35">
        <v>0</v>
      </c>
    </row>
    <row r="12" spans="2:5" ht="17.100000000000001" customHeight="1" x14ac:dyDescent="0.25">
      <c r="B12" s="67" t="s">
        <v>84</v>
      </c>
      <c r="C12" s="33" t="s">
        <v>31</v>
      </c>
      <c r="D12" s="5" t="s">
        <v>3</v>
      </c>
      <c r="E12" s="35">
        <v>3</v>
      </c>
    </row>
    <row r="13" spans="2:5" ht="17.100000000000001" customHeight="1" x14ac:dyDescent="0.25">
      <c r="B13" s="67" t="s">
        <v>84</v>
      </c>
      <c r="C13" s="33" t="s">
        <v>31</v>
      </c>
      <c r="D13" s="5" t="s">
        <v>4</v>
      </c>
      <c r="E13" s="35">
        <v>1.5</v>
      </c>
    </row>
    <row r="14" spans="2:5" ht="17.100000000000001" customHeight="1" x14ac:dyDescent="0.25">
      <c r="B14" s="68" t="s">
        <v>85</v>
      </c>
      <c r="C14" s="34" t="s">
        <v>8</v>
      </c>
      <c r="D14" s="5" t="s">
        <v>3</v>
      </c>
      <c r="E14" s="36">
        <v>4.5</v>
      </c>
    </row>
    <row r="15" spans="2:5" ht="17.100000000000001" customHeight="1" x14ac:dyDescent="0.25">
      <c r="B15" s="68" t="s">
        <v>85</v>
      </c>
      <c r="C15" s="34" t="s">
        <v>8</v>
      </c>
      <c r="D15" s="5" t="s">
        <v>5</v>
      </c>
      <c r="E15" s="36">
        <v>1.5</v>
      </c>
    </row>
    <row r="16" spans="2:5" ht="17.100000000000001" customHeight="1" x14ac:dyDescent="0.25">
      <c r="B16" s="68" t="s">
        <v>85</v>
      </c>
      <c r="C16" s="34" t="s">
        <v>8</v>
      </c>
      <c r="D16" s="5" t="s">
        <v>4</v>
      </c>
      <c r="E16" s="36">
        <v>0</v>
      </c>
    </row>
    <row r="17" spans="2:5" ht="17.100000000000001" customHeight="1" x14ac:dyDescent="0.25">
      <c r="B17" s="68" t="s">
        <v>85</v>
      </c>
      <c r="C17" s="34" t="s">
        <v>6</v>
      </c>
      <c r="D17" s="5" t="s">
        <v>3</v>
      </c>
      <c r="E17" s="36">
        <v>4.5</v>
      </c>
    </row>
    <row r="18" spans="2:5" ht="17.100000000000001" customHeight="1" x14ac:dyDescent="0.25">
      <c r="B18" s="68" t="s">
        <v>85</v>
      </c>
      <c r="C18" s="34" t="s">
        <v>6</v>
      </c>
      <c r="D18" s="5" t="s">
        <v>4</v>
      </c>
      <c r="E18" s="36">
        <v>0</v>
      </c>
    </row>
    <row r="19" spans="2:5" ht="17.100000000000001" customHeight="1" x14ac:dyDescent="0.25">
      <c r="B19" s="68" t="s">
        <v>85</v>
      </c>
      <c r="C19" s="34" t="s">
        <v>14</v>
      </c>
      <c r="D19" s="5" t="s">
        <v>3</v>
      </c>
      <c r="E19" s="36">
        <v>3</v>
      </c>
    </row>
    <row r="20" spans="2:5" ht="17.100000000000001" customHeight="1" x14ac:dyDescent="0.25">
      <c r="B20" s="68" t="s">
        <v>85</v>
      </c>
      <c r="C20" s="34" t="s">
        <v>14</v>
      </c>
      <c r="D20" s="5" t="s">
        <v>4</v>
      </c>
      <c r="E20" s="36">
        <v>1.5</v>
      </c>
    </row>
    <row r="21" spans="2:5" ht="17.100000000000001" customHeight="1" x14ac:dyDescent="0.25">
      <c r="B21" s="68" t="s">
        <v>85</v>
      </c>
      <c r="C21" s="34" t="s">
        <v>15</v>
      </c>
      <c r="D21" s="5" t="s">
        <v>3</v>
      </c>
      <c r="E21" s="36">
        <v>6</v>
      </c>
    </row>
    <row r="22" spans="2:5" ht="17.100000000000001" customHeight="1" x14ac:dyDescent="0.25">
      <c r="B22" s="68" t="s">
        <v>85</v>
      </c>
      <c r="C22" s="34" t="s">
        <v>15</v>
      </c>
      <c r="D22" s="5" t="s">
        <v>4</v>
      </c>
      <c r="E22" s="36">
        <v>0</v>
      </c>
    </row>
    <row r="23" spans="2:5" ht="17.100000000000001" customHeight="1" x14ac:dyDescent="0.25">
      <c r="B23" s="68" t="s">
        <v>85</v>
      </c>
      <c r="C23" s="34" t="s">
        <v>32</v>
      </c>
      <c r="D23" s="5" t="s">
        <v>3</v>
      </c>
      <c r="E23" s="36">
        <v>4</v>
      </c>
    </row>
    <row r="24" spans="2:5" ht="17.100000000000001" customHeight="1" x14ac:dyDescent="0.25">
      <c r="B24" s="68" t="s">
        <v>85</v>
      </c>
      <c r="C24" s="34" t="s">
        <v>32</v>
      </c>
      <c r="D24" s="5" t="s">
        <v>4</v>
      </c>
      <c r="E24" s="36">
        <v>2</v>
      </c>
    </row>
    <row r="25" spans="2:5" ht="17.100000000000001" customHeight="1" x14ac:dyDescent="0.25">
      <c r="B25" s="69" t="s">
        <v>60</v>
      </c>
      <c r="C25" s="5" t="s">
        <v>79</v>
      </c>
      <c r="D25" s="30"/>
      <c r="E25" s="37">
        <v>4.5</v>
      </c>
    </row>
    <row r="26" spans="2:5" ht="17.100000000000001" customHeight="1" x14ac:dyDescent="0.25">
      <c r="B26" s="69" t="s">
        <v>60</v>
      </c>
      <c r="C26" s="5" t="s">
        <v>80</v>
      </c>
      <c r="D26" s="30"/>
      <c r="E26" s="37">
        <v>3</v>
      </c>
    </row>
    <row r="27" spans="2:5" ht="17.100000000000001" customHeight="1" x14ac:dyDescent="0.25">
      <c r="B27" s="69" t="s">
        <v>60</v>
      </c>
      <c r="C27" s="5" t="s">
        <v>81</v>
      </c>
      <c r="D27" s="30"/>
      <c r="E27" s="37">
        <v>1.5</v>
      </c>
    </row>
    <row r="28" spans="2:5" ht="17.100000000000001" customHeight="1" x14ac:dyDescent="0.25">
      <c r="B28" s="69" t="s">
        <v>60</v>
      </c>
      <c r="C28" s="3" t="s">
        <v>82</v>
      </c>
      <c r="D28" s="30"/>
      <c r="E28" s="37">
        <v>15</v>
      </c>
    </row>
    <row r="29" spans="2:5" ht="17.100000000000001" customHeight="1" x14ac:dyDescent="0.25">
      <c r="B29" s="69" t="s">
        <v>60</v>
      </c>
      <c r="C29" s="3" t="s">
        <v>83</v>
      </c>
      <c r="D29" s="30"/>
      <c r="E29" s="37">
        <v>7.5</v>
      </c>
    </row>
  </sheetData>
  <sheetProtection algorithmName="SHA-512" hashValue="jHstI8i08hiJ5X0YdNMOMKGnq+JaAFK22aDLhiow2VIu0oopxVidZ34GTJp6bNh6cyrjWdSLu6OmOvsC3Oo67w==" saltValue="ff9VpN+qxHrbBVDB/w8Bbg==" spinCount="100000" sheet="1" objects="1" scenarios="1"/>
  <conditionalFormatting sqref="D3:D24">
    <cfRule type="cellIs" dxfId="39" priority="1" operator="equal">
      <formula>"Draw"</formula>
    </cfRule>
    <cfRule type="cellIs" dxfId="38" priority="2" operator="equal">
      <formula>"Win"</formula>
    </cfRule>
    <cfRule type="cellIs" dxfId="37" priority="3" operator="equal">
      <formula>"Loss"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CF6064-F111-43AD-9FA1-6B9B436DFB2D}">
          <x14:formula1>
            <xm:f>'Drop Down Lists'!$B$2:$B$11</xm:f>
          </x14:formula1>
          <xm:sqref>C3:C24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689F-BF73-42EF-9941-6C96AC7FA437}">
  <sheetPr>
    <tabColor rgb="FFFF0000"/>
  </sheetPr>
  <dimension ref="B1:O72"/>
  <sheetViews>
    <sheetView showGridLines="0" tabSelected="1" topLeftCell="A37" zoomScaleNormal="100" workbookViewId="0">
      <selection activeCell="D45" sqref="D45"/>
    </sheetView>
  </sheetViews>
  <sheetFormatPr defaultRowHeight="18.75" x14ac:dyDescent="0.3"/>
  <cols>
    <col min="2" max="2" width="14.140625" style="78" customWidth="1"/>
    <col min="3" max="3" width="22.28515625" style="73" bestFit="1" customWidth="1"/>
    <col min="4" max="4" width="9.140625" style="57" bestFit="1" customWidth="1"/>
    <col min="5" max="5" width="7.7109375" style="57" bestFit="1" customWidth="1"/>
    <col min="6" max="6" width="9.42578125" style="57" bestFit="1" customWidth="1"/>
    <col min="7" max="7" width="14.140625" style="57" bestFit="1" customWidth="1"/>
    <col min="8" max="8" width="25.5703125" style="58" bestFit="1" customWidth="1"/>
    <col min="9" max="9" width="30.28515625" style="70" bestFit="1" customWidth="1"/>
    <col min="10" max="10" width="29.5703125" hidden="1" customWidth="1"/>
    <col min="15" max="15" width="9.42578125" customWidth="1"/>
  </cols>
  <sheetData>
    <row r="1" spans="2:15" ht="11.25" hidden="1" customHeight="1" x14ac:dyDescent="0.3"/>
    <row r="2" spans="2:15" ht="37.5" hidden="1" x14ac:dyDescent="0.25">
      <c r="B2" s="56" t="s">
        <v>41</v>
      </c>
      <c r="C2" s="74" t="s">
        <v>17</v>
      </c>
      <c r="D2" s="57" t="s">
        <v>94</v>
      </c>
      <c r="E2" s="57" t="s">
        <v>91</v>
      </c>
      <c r="F2" s="57" t="s">
        <v>92</v>
      </c>
      <c r="G2" s="57" t="s">
        <v>90</v>
      </c>
      <c r="H2" s="57" t="s">
        <v>61</v>
      </c>
      <c r="I2" s="70" t="s">
        <v>77</v>
      </c>
    </row>
    <row r="3" spans="2:15" hidden="1" x14ac:dyDescent="0.25">
      <c r="B3" s="79">
        <v>1</v>
      </c>
      <c r="C3" s="76" t="s">
        <v>23</v>
      </c>
      <c r="D3" s="59">
        <v>12</v>
      </c>
      <c r="E3" s="59">
        <v>71</v>
      </c>
      <c r="F3" s="59">
        <v>36</v>
      </c>
      <c r="G3" s="59">
        <v>35</v>
      </c>
      <c r="H3" s="60">
        <v>27.5</v>
      </c>
      <c r="I3" s="88">
        <v>27.535</v>
      </c>
      <c r="O3" s="7"/>
    </row>
    <row r="4" spans="2:15" hidden="1" x14ac:dyDescent="0.3">
      <c r="B4" s="79">
        <v>2</v>
      </c>
      <c r="C4" s="75" t="s">
        <v>97</v>
      </c>
      <c r="D4" s="59">
        <v>12</v>
      </c>
      <c r="E4" s="59">
        <v>80</v>
      </c>
      <c r="F4" s="59">
        <v>37</v>
      </c>
      <c r="G4" s="59">
        <v>43</v>
      </c>
      <c r="H4" s="60">
        <v>23.25</v>
      </c>
      <c r="I4" s="88">
        <v>23.292999999999996</v>
      </c>
      <c r="O4" s="7"/>
    </row>
    <row r="5" spans="2:15" hidden="1" x14ac:dyDescent="0.3">
      <c r="B5" s="79">
        <v>3</v>
      </c>
      <c r="C5" s="75" t="s">
        <v>50</v>
      </c>
      <c r="D5" s="59">
        <v>12</v>
      </c>
      <c r="E5" s="59">
        <v>56</v>
      </c>
      <c r="F5" s="59">
        <v>46</v>
      </c>
      <c r="G5" s="59">
        <v>10</v>
      </c>
      <c r="H5" s="60">
        <v>22.25</v>
      </c>
      <c r="I5" s="88">
        <v>22.259999999999998</v>
      </c>
      <c r="O5" s="7"/>
    </row>
    <row r="6" spans="2:15" hidden="1" x14ac:dyDescent="0.3">
      <c r="B6" s="79">
        <v>4</v>
      </c>
      <c r="C6" s="75" t="s">
        <v>98</v>
      </c>
      <c r="D6" s="59">
        <v>12</v>
      </c>
      <c r="E6" s="59">
        <v>62</v>
      </c>
      <c r="F6" s="59">
        <v>51</v>
      </c>
      <c r="G6" s="59">
        <v>11</v>
      </c>
      <c r="H6" s="60">
        <v>15</v>
      </c>
      <c r="I6" s="88">
        <v>15.010999999999999</v>
      </c>
      <c r="O6" s="7"/>
    </row>
    <row r="7" spans="2:15" hidden="1" x14ac:dyDescent="0.3">
      <c r="B7" s="79">
        <v>5</v>
      </c>
      <c r="C7" s="75" t="s">
        <v>53</v>
      </c>
      <c r="D7" s="59">
        <v>12</v>
      </c>
      <c r="E7" s="59">
        <v>65</v>
      </c>
      <c r="F7" s="59">
        <v>60</v>
      </c>
      <c r="G7" s="59">
        <v>5</v>
      </c>
      <c r="H7" s="60">
        <v>15</v>
      </c>
      <c r="I7" s="88">
        <v>15.004999999999999</v>
      </c>
      <c r="O7" s="7"/>
    </row>
    <row r="8" spans="2:15" hidden="1" x14ac:dyDescent="0.3">
      <c r="B8" s="79">
        <v>6</v>
      </c>
      <c r="C8" s="75" t="s">
        <v>100</v>
      </c>
      <c r="D8" s="59">
        <v>11</v>
      </c>
      <c r="E8" s="59">
        <v>72</v>
      </c>
      <c r="F8" s="59">
        <v>73</v>
      </c>
      <c r="G8" s="59">
        <v>-1</v>
      </c>
      <c r="H8" s="60">
        <v>8</v>
      </c>
      <c r="I8" s="88">
        <v>7.9989999999999997</v>
      </c>
      <c r="O8" s="7"/>
    </row>
    <row r="9" spans="2:15" hidden="1" x14ac:dyDescent="0.3">
      <c r="B9" s="79">
        <v>7</v>
      </c>
      <c r="C9" s="75" t="s">
        <v>54</v>
      </c>
      <c r="D9" s="59">
        <v>6</v>
      </c>
      <c r="E9" s="59">
        <v>32</v>
      </c>
      <c r="F9" s="59">
        <v>28</v>
      </c>
      <c r="G9" s="59">
        <v>4</v>
      </c>
      <c r="H9" s="60">
        <v>6</v>
      </c>
      <c r="I9" s="88">
        <v>6.0039999999999996</v>
      </c>
      <c r="O9" s="7"/>
    </row>
    <row r="10" spans="2:15" hidden="1" x14ac:dyDescent="0.3">
      <c r="B10" s="79">
        <v>8</v>
      </c>
      <c r="C10" s="75" t="s">
        <v>205</v>
      </c>
      <c r="D10" s="59">
        <v>6</v>
      </c>
      <c r="E10" s="59">
        <v>23</v>
      </c>
      <c r="F10" s="59">
        <v>46</v>
      </c>
      <c r="G10" s="59">
        <v>-23</v>
      </c>
      <c r="H10" s="60">
        <v>6</v>
      </c>
      <c r="I10" s="88">
        <v>5.9769999999999994</v>
      </c>
      <c r="O10" s="7"/>
    </row>
    <row r="11" spans="2:15" hidden="1" x14ac:dyDescent="0.3">
      <c r="B11" s="79">
        <v>9</v>
      </c>
      <c r="C11" s="75" t="s">
        <v>99</v>
      </c>
      <c r="D11" s="59">
        <v>12</v>
      </c>
      <c r="E11" s="59">
        <v>36</v>
      </c>
      <c r="F11" s="59">
        <v>62</v>
      </c>
      <c r="G11" s="59">
        <v>-26</v>
      </c>
      <c r="H11" s="60">
        <v>4.5</v>
      </c>
      <c r="I11" s="88">
        <v>4.4740000000000002</v>
      </c>
      <c r="O11" s="7"/>
    </row>
    <row r="12" spans="2:15" hidden="1" x14ac:dyDescent="0.3">
      <c r="B12" s="79">
        <v>10</v>
      </c>
      <c r="C12" s="75" t="s">
        <v>46</v>
      </c>
      <c r="D12" s="59">
        <v>6</v>
      </c>
      <c r="E12" s="59">
        <v>7</v>
      </c>
      <c r="F12" s="59">
        <v>27</v>
      </c>
      <c r="G12" s="59">
        <v>-20</v>
      </c>
      <c r="H12" s="60">
        <v>2.5</v>
      </c>
      <c r="I12" s="88">
        <v>2.48</v>
      </c>
      <c r="O12" s="7"/>
    </row>
    <row r="13" spans="2:15" hidden="1" x14ac:dyDescent="0.3">
      <c r="B13" s="79">
        <v>11</v>
      </c>
      <c r="C13" s="75" t="s">
        <v>19</v>
      </c>
      <c r="D13" s="59">
        <v>5</v>
      </c>
      <c r="E13" s="59">
        <v>16</v>
      </c>
      <c r="F13" s="59">
        <v>50</v>
      </c>
      <c r="G13" s="59">
        <v>-34</v>
      </c>
      <c r="H13" s="60">
        <v>0</v>
      </c>
      <c r="I13" s="88">
        <v>-3.4000000000000002E-2</v>
      </c>
      <c r="O13" s="7"/>
    </row>
    <row r="14" spans="2:15" hidden="1" x14ac:dyDescent="0.25">
      <c r="B14" s="79">
        <v>12</v>
      </c>
      <c r="C14"/>
      <c r="D14"/>
      <c r="E14"/>
      <c r="F14"/>
      <c r="G14"/>
      <c r="H14"/>
      <c r="I14"/>
      <c r="O14" s="7"/>
    </row>
    <row r="15" spans="2:15" hidden="1" x14ac:dyDescent="0.25">
      <c r="B15" s="79">
        <v>13</v>
      </c>
      <c r="C15"/>
      <c r="D15"/>
      <c r="E15"/>
      <c r="F15"/>
      <c r="G15"/>
      <c r="H15"/>
      <c r="I15"/>
      <c r="O15" s="7"/>
    </row>
    <row r="16" spans="2:15" hidden="1" x14ac:dyDescent="0.25">
      <c r="B16" s="79">
        <v>14</v>
      </c>
      <c r="C16"/>
      <c r="D16"/>
      <c r="E16"/>
      <c r="F16"/>
      <c r="G16"/>
      <c r="H16"/>
      <c r="I16"/>
      <c r="O16" s="7"/>
    </row>
    <row r="17" spans="2:15" hidden="1" x14ac:dyDescent="0.25">
      <c r="B17" s="79">
        <v>15</v>
      </c>
      <c r="C17"/>
      <c r="D17"/>
      <c r="E17"/>
      <c r="F17"/>
      <c r="G17"/>
      <c r="H17"/>
      <c r="I17"/>
      <c r="O17" s="7"/>
    </row>
    <row r="18" spans="2:15" hidden="1" x14ac:dyDescent="0.25">
      <c r="B18" s="79">
        <v>16</v>
      </c>
      <c r="C18"/>
      <c r="D18"/>
      <c r="E18"/>
      <c r="F18"/>
      <c r="G18"/>
      <c r="H18"/>
      <c r="I18"/>
      <c r="O18" s="7"/>
    </row>
    <row r="19" spans="2:15" hidden="1" x14ac:dyDescent="0.25">
      <c r="B19" s="79">
        <v>17</v>
      </c>
      <c r="C19"/>
      <c r="D19"/>
      <c r="E19"/>
      <c r="F19"/>
      <c r="G19"/>
      <c r="H19"/>
      <c r="I19"/>
      <c r="O19" s="7"/>
    </row>
    <row r="20" spans="2:15" hidden="1" x14ac:dyDescent="0.25">
      <c r="B20" s="79">
        <v>18</v>
      </c>
      <c r="C20"/>
      <c r="D20"/>
      <c r="E20"/>
      <c r="F20"/>
      <c r="G20"/>
      <c r="H20"/>
      <c r="I20"/>
      <c r="O20" s="7"/>
    </row>
    <row r="21" spans="2:15" hidden="1" x14ac:dyDescent="0.25">
      <c r="B21" s="79">
        <v>19</v>
      </c>
      <c r="C21"/>
      <c r="D21"/>
      <c r="E21"/>
      <c r="F21"/>
      <c r="G21"/>
      <c r="H21"/>
      <c r="I21"/>
      <c r="O21" s="7"/>
    </row>
    <row r="22" spans="2:15" hidden="1" x14ac:dyDescent="0.25">
      <c r="B22" s="79">
        <v>20</v>
      </c>
      <c r="C22"/>
      <c r="D22"/>
      <c r="E22"/>
      <c r="F22"/>
      <c r="G22"/>
      <c r="H22"/>
      <c r="I22"/>
      <c r="O22" s="7"/>
    </row>
    <row r="23" spans="2:15" hidden="1" x14ac:dyDescent="0.25">
      <c r="B23" s="79">
        <v>21</v>
      </c>
      <c r="C23"/>
      <c r="D23"/>
      <c r="E23"/>
      <c r="F23"/>
      <c r="G23"/>
      <c r="H23"/>
      <c r="I23"/>
      <c r="O23" s="7"/>
    </row>
    <row r="24" spans="2:15" hidden="1" x14ac:dyDescent="0.25">
      <c r="B24" s="79">
        <v>22</v>
      </c>
      <c r="C24"/>
      <c r="D24"/>
      <c r="E24"/>
      <c r="F24"/>
      <c r="G24"/>
      <c r="H24"/>
      <c r="I24"/>
      <c r="O24" s="7"/>
    </row>
    <row r="25" spans="2:15" hidden="1" x14ac:dyDescent="0.25">
      <c r="B25" s="79">
        <v>23</v>
      </c>
      <c r="C25"/>
      <c r="D25"/>
      <c r="E25"/>
      <c r="F25"/>
      <c r="G25"/>
      <c r="H25"/>
      <c r="I25"/>
      <c r="O25" s="7"/>
    </row>
    <row r="26" spans="2:15" hidden="1" x14ac:dyDescent="0.25">
      <c r="B26" s="79">
        <v>24</v>
      </c>
      <c r="C26"/>
      <c r="D26"/>
      <c r="E26"/>
      <c r="F26"/>
      <c r="G26"/>
      <c r="H26"/>
      <c r="I26"/>
      <c r="O26" s="7"/>
    </row>
    <row r="27" spans="2:15" hidden="1" x14ac:dyDescent="0.25">
      <c r="B27" s="79">
        <v>25</v>
      </c>
      <c r="C27"/>
      <c r="D27"/>
      <c r="E27"/>
      <c r="F27"/>
      <c r="G27"/>
      <c r="H27"/>
      <c r="I27"/>
      <c r="O27" s="7"/>
    </row>
    <row r="28" spans="2:15" hidden="1" x14ac:dyDescent="0.25">
      <c r="B28" s="79">
        <v>26</v>
      </c>
      <c r="C28"/>
      <c r="D28"/>
      <c r="E28"/>
      <c r="F28"/>
      <c r="G28"/>
      <c r="H28"/>
      <c r="I28"/>
      <c r="O28" s="7"/>
    </row>
    <row r="29" spans="2:15" hidden="1" x14ac:dyDescent="0.25">
      <c r="B29" s="79">
        <v>27</v>
      </c>
      <c r="C29"/>
      <c r="D29"/>
      <c r="E29"/>
      <c r="F29"/>
      <c r="G29"/>
      <c r="H29"/>
      <c r="I29"/>
      <c r="O29" s="7"/>
    </row>
    <row r="30" spans="2:15" hidden="1" x14ac:dyDescent="0.25">
      <c r="B30" s="79">
        <v>28</v>
      </c>
      <c r="C30"/>
      <c r="D30"/>
      <c r="E30"/>
      <c r="F30"/>
      <c r="G30"/>
      <c r="H30"/>
      <c r="I30"/>
      <c r="O30" s="7"/>
    </row>
    <row r="31" spans="2:15" hidden="1" x14ac:dyDescent="0.25">
      <c r="B31" s="79">
        <v>29</v>
      </c>
      <c r="C31"/>
      <c r="D31"/>
      <c r="E31"/>
      <c r="F31"/>
      <c r="G31"/>
      <c r="H31"/>
      <c r="I31"/>
      <c r="O31" s="7"/>
    </row>
    <row r="32" spans="2:15" hidden="1" x14ac:dyDescent="0.25">
      <c r="B32" s="79">
        <v>30</v>
      </c>
      <c r="C32"/>
      <c r="D32"/>
      <c r="E32"/>
      <c r="F32"/>
      <c r="G32"/>
      <c r="H32"/>
      <c r="I32"/>
      <c r="O32" s="7"/>
    </row>
    <row r="33" spans="2:15" hidden="1" x14ac:dyDescent="0.3">
      <c r="B33" s="79"/>
      <c r="C33" s="75"/>
      <c r="D33" s="59"/>
      <c r="E33" s="59"/>
      <c r="F33" s="59"/>
      <c r="G33" s="59"/>
      <c r="H33" s="60"/>
      <c r="I33" s="71"/>
      <c r="O33" s="7"/>
    </row>
    <row r="34" spans="2:15" hidden="1" x14ac:dyDescent="0.3">
      <c r="B34" s="79"/>
      <c r="C34" s="75"/>
      <c r="D34" s="59"/>
      <c r="E34" s="59"/>
      <c r="F34" s="59"/>
      <c r="G34" s="59"/>
      <c r="H34" s="60"/>
      <c r="I34" s="71"/>
      <c r="O34" s="7"/>
    </row>
    <row r="35" spans="2:15" hidden="1" x14ac:dyDescent="0.3">
      <c r="B35" s="79"/>
      <c r="C35" s="75"/>
      <c r="D35" s="59"/>
      <c r="E35" s="59"/>
      <c r="F35" s="59"/>
      <c r="G35" s="59"/>
      <c r="H35" s="60"/>
      <c r="I35" s="71"/>
      <c r="O35" s="7"/>
    </row>
    <row r="36" spans="2:15" hidden="1" x14ac:dyDescent="0.3">
      <c r="B36" s="79"/>
      <c r="C36" s="75"/>
      <c r="D36" s="59"/>
      <c r="E36" s="59"/>
      <c r="F36" s="59"/>
      <c r="G36" s="59"/>
      <c r="H36" s="60"/>
      <c r="I36" s="71"/>
      <c r="O36" s="7"/>
    </row>
    <row r="38" spans="2:15" ht="37.5" x14ac:dyDescent="0.25">
      <c r="B38" s="65" t="s">
        <v>41</v>
      </c>
      <c r="C38" s="65" t="s">
        <v>17</v>
      </c>
      <c r="D38" s="66" t="s">
        <v>94</v>
      </c>
      <c r="E38" s="66" t="s">
        <v>88</v>
      </c>
      <c r="F38" s="66" t="s">
        <v>89</v>
      </c>
      <c r="G38" s="66" t="s">
        <v>90</v>
      </c>
      <c r="H38" s="66" t="s">
        <v>95</v>
      </c>
      <c r="I38" s="66" t="s">
        <v>61</v>
      </c>
      <c r="J38" s="39" t="s">
        <v>77</v>
      </c>
    </row>
    <row r="39" spans="2:15" x14ac:dyDescent="0.3">
      <c r="B39" s="81">
        <f>IF($C3="","",$B3)</f>
        <v>1</v>
      </c>
      <c r="C39" s="77" t="str">
        <f>IF($C3="","",$C3)</f>
        <v>Old Power</v>
      </c>
      <c r="D39" s="61">
        <f>IF($C3="","",$D3)</f>
        <v>12</v>
      </c>
      <c r="E39" s="83">
        <f>IF($C3="","",$E3)</f>
        <v>71</v>
      </c>
      <c r="F39" s="83">
        <f>IF($C3="","",$F3)</f>
        <v>36</v>
      </c>
      <c r="G39" s="83">
        <f>IF($C3="","",$G3)</f>
        <v>35</v>
      </c>
      <c r="H39" s="85">
        <f>IF($C3="","",IFERROR($G3/$D3,0))</f>
        <v>2.9166666666666665</v>
      </c>
      <c r="I39" s="72">
        <f>IF($C3="","",$H3)</f>
        <v>27.5</v>
      </c>
      <c r="J39" s="89">
        <f>IF($C3="","",$I3)</f>
        <v>27.535</v>
      </c>
    </row>
    <row r="40" spans="2:15" x14ac:dyDescent="0.3">
      <c r="B40" s="80">
        <f>IF($C4="","",$B4)</f>
        <v>2</v>
      </c>
      <c r="C40" s="75" t="str">
        <f>IF($C4="","",$C4)</f>
        <v>Kahramanmaras</v>
      </c>
      <c r="D40" s="59">
        <f>IF($C4="","",$D4)</f>
        <v>12</v>
      </c>
      <c r="E40" s="82">
        <f>IF($C4="","",$E4)</f>
        <v>80</v>
      </c>
      <c r="F40" s="82">
        <f>IF($C4="","",$F4)</f>
        <v>37</v>
      </c>
      <c r="G40" s="82">
        <f>IF($C4="","",$G4)</f>
        <v>43</v>
      </c>
      <c r="H40" s="84">
        <f>IF($C4="","",IFERROR($G4/$D4,0))</f>
        <v>3.5833333333333335</v>
      </c>
      <c r="I40" s="71">
        <f>IF($C4="","",$H4)</f>
        <v>23.25</v>
      </c>
      <c r="J40" s="89">
        <f>IF($C4="","",$I4)</f>
        <v>23.292999999999996</v>
      </c>
    </row>
    <row r="41" spans="2:15" x14ac:dyDescent="0.3">
      <c r="B41" s="81">
        <f>IF($C5="","",$B5)</f>
        <v>3</v>
      </c>
      <c r="C41" s="77" t="str">
        <f>IF($C5="","",$C5)</f>
        <v>RGC Hansa</v>
      </c>
      <c r="D41" s="61">
        <f>IF($C5="","",$D5)</f>
        <v>12</v>
      </c>
      <c r="E41" s="83">
        <f>IF($C5="","",$E5)</f>
        <v>56</v>
      </c>
      <c r="F41" s="83">
        <f>IF($C5="","",$F5)</f>
        <v>46</v>
      </c>
      <c r="G41" s="83">
        <f>IF($C5="","",$G5)</f>
        <v>10</v>
      </c>
      <c r="H41" s="85">
        <f>IF($C5="","",IFERROR($G5/$D5,0))</f>
        <v>0.83333333333333337</v>
      </c>
      <c r="I41" s="72">
        <f>IF($C5="","",$H5)</f>
        <v>22.25</v>
      </c>
      <c r="J41" s="38">
        <f>IF($C5="","",$I5)</f>
        <v>22.259999999999998</v>
      </c>
    </row>
    <row r="42" spans="2:15" x14ac:dyDescent="0.3">
      <c r="B42" s="80">
        <f>IF($C6="","",$B6)</f>
        <v>4</v>
      </c>
      <c r="C42" s="75" t="str">
        <f>IF($C6="","",$C6)</f>
        <v>FIFH Malmo</v>
      </c>
      <c r="D42" s="59">
        <f>IF($C6="","",$D6)</f>
        <v>12</v>
      </c>
      <c r="E42" s="82">
        <f>IF($C6="","",$E6)</f>
        <v>62</v>
      </c>
      <c r="F42" s="82">
        <f>IF($C6="","",$F6)</f>
        <v>51</v>
      </c>
      <c r="G42" s="82">
        <f>IF($C6="","",$G6)</f>
        <v>11</v>
      </c>
      <c r="H42" s="84">
        <f>IF($C6="","",IFERROR($G6/$D6,0))</f>
        <v>0.91666666666666663</v>
      </c>
      <c r="I42" s="71">
        <f>IF($C6="","",$H6)</f>
        <v>15</v>
      </c>
      <c r="J42" s="38">
        <f>IF($C6="","",$I6)</f>
        <v>15.010999999999999</v>
      </c>
    </row>
    <row r="43" spans="2:15" x14ac:dyDescent="0.3">
      <c r="B43" s="81">
        <f>IF($C7="","",$B7)</f>
        <v>5</v>
      </c>
      <c r="C43" s="77" t="str">
        <f>IF($C7="","",$C7)</f>
        <v>Füchse Berlin</v>
      </c>
      <c r="D43" s="61">
        <f>IF($C7="","",$D7)</f>
        <v>12</v>
      </c>
      <c r="E43" s="83">
        <f>IF($C7="","",$E7)</f>
        <v>65</v>
      </c>
      <c r="F43" s="83">
        <f>IF($C7="","",$F7)</f>
        <v>60</v>
      </c>
      <c r="G43" s="83">
        <f>IF($C7="","",$G7)</f>
        <v>5</v>
      </c>
      <c r="H43" s="85">
        <f>IF($C7="","",IFERROR($G7/$D7,0))</f>
        <v>0.41666666666666669</v>
      </c>
      <c r="I43" s="72">
        <f>IF($C7="","",$H7)</f>
        <v>15</v>
      </c>
      <c r="J43" s="38">
        <f>IF($C7="","",$I7)</f>
        <v>15.004999999999999</v>
      </c>
    </row>
    <row r="44" spans="2:15" x14ac:dyDescent="0.3">
      <c r="B44" s="80">
        <f>IF($C8="","",$B8)</f>
        <v>6</v>
      </c>
      <c r="C44" s="75" t="str">
        <f>IF($C8="","",$C8)</f>
        <v>USV Hercules</v>
      </c>
      <c r="D44" s="59">
        <f>IF($C8="","",$D8)</f>
        <v>11</v>
      </c>
      <c r="E44" s="82">
        <f>IF($C8="","",$E8)</f>
        <v>72</v>
      </c>
      <c r="F44" s="82">
        <f>IF($C8="","",$F8)</f>
        <v>73</v>
      </c>
      <c r="G44" s="82">
        <f>IF($C8="","",$G8)</f>
        <v>-1</v>
      </c>
      <c r="H44" s="84">
        <f>IF($C8="","",IFERROR($G8/$D8,0))</f>
        <v>-9.0909090909090912E-2</v>
      </c>
      <c r="I44" s="71">
        <f>IF($C8="","",$H8)</f>
        <v>8</v>
      </c>
      <c r="J44" s="38">
        <f>IF($C8="","",$I8)</f>
        <v>7.9989999999999997</v>
      </c>
    </row>
    <row r="45" spans="2:15" x14ac:dyDescent="0.3">
      <c r="B45" s="81">
        <f>IF($C9="","",$B9)</f>
        <v>7</v>
      </c>
      <c r="C45" s="77" t="str">
        <f>IF($C9="","",$C9)</f>
        <v>Näpäjä</v>
      </c>
      <c r="D45" s="61">
        <f>IF($C9="","",$D9)</f>
        <v>6</v>
      </c>
      <c r="E45" s="83">
        <f>IF($C9="","",$E9)</f>
        <v>32</v>
      </c>
      <c r="F45" s="83">
        <f>IF($C9="","",$F9)</f>
        <v>28</v>
      </c>
      <c r="G45" s="83">
        <f>IF($C9="","",$G9)</f>
        <v>4</v>
      </c>
      <c r="H45" s="85">
        <f>IF($C9="","",IFERROR($G9/$D9,0))</f>
        <v>0.66666666666666663</v>
      </c>
      <c r="I45" s="72">
        <f>IF($C9="","",$H9)</f>
        <v>6</v>
      </c>
      <c r="J45" s="38">
        <f>IF($C9="","",$I9)</f>
        <v>6.0039999999999996</v>
      </c>
    </row>
    <row r="46" spans="2:15" x14ac:dyDescent="0.3">
      <c r="B46" s="80">
        <f>IF($C10="","",$B10)</f>
        <v>8</v>
      </c>
      <c r="C46" s="75" t="str">
        <f>IF($C10="","",$C10)</f>
        <v>Isparta</v>
      </c>
      <c r="D46" s="59">
        <f>IF($C10="","",$D10)</f>
        <v>6</v>
      </c>
      <c r="E46" s="82">
        <f>IF($C10="","",$E10)</f>
        <v>23</v>
      </c>
      <c r="F46" s="82">
        <f>IF($C10="","",$F10)</f>
        <v>46</v>
      </c>
      <c r="G46" s="82">
        <f>IF($C10="","",$G10)</f>
        <v>-23</v>
      </c>
      <c r="H46" s="84">
        <f>IF($C10="","",IFERROR($G10/$D10,0))</f>
        <v>-3.8333333333333335</v>
      </c>
      <c r="I46" s="71">
        <f>IF($C10="","",$H10)</f>
        <v>6</v>
      </c>
      <c r="J46" s="38">
        <f>IF($C10="","",$I10)</f>
        <v>5.9769999999999994</v>
      </c>
    </row>
    <row r="47" spans="2:15" x14ac:dyDescent="0.3">
      <c r="B47" s="81">
        <f>IF($C11="","",$B11)</f>
        <v>9</v>
      </c>
      <c r="C47" s="77" t="str">
        <f>IF($C11="","",$C11)</f>
        <v>GC Golden Flash</v>
      </c>
      <c r="D47" s="61">
        <f>IF($C11="","",$D11)</f>
        <v>12</v>
      </c>
      <c r="E47" s="83">
        <f>IF($C11="","",$E11)</f>
        <v>36</v>
      </c>
      <c r="F47" s="83">
        <f>IF($C11="","",$F11)</f>
        <v>62</v>
      </c>
      <c r="G47" s="83">
        <f>IF($C11="","",$G11)</f>
        <v>-26</v>
      </c>
      <c r="H47" s="85">
        <f>IF($C11="","",IFERROR($G11/$D11,0))</f>
        <v>-2.1666666666666665</v>
      </c>
      <c r="I47" s="72">
        <f>IF($C11="","",$H11)</f>
        <v>4.5</v>
      </c>
      <c r="J47" s="38">
        <f>IF($C11="","",$I11)</f>
        <v>4.4740000000000002</v>
      </c>
    </row>
    <row r="48" spans="2:15" x14ac:dyDescent="0.3">
      <c r="B48" s="80">
        <f>IF($C12="","",$B12)</f>
        <v>10</v>
      </c>
      <c r="C48" s="75" t="str">
        <f>IF($C12="","",$C12)</f>
        <v>Kleio Thessaloniki</v>
      </c>
      <c r="D48" s="59">
        <f>IF($C12="","",$D12)</f>
        <v>6</v>
      </c>
      <c r="E48" s="82">
        <f>IF($C12="","",$E12)</f>
        <v>7</v>
      </c>
      <c r="F48" s="82">
        <f>IF($C12="","",$F12)</f>
        <v>27</v>
      </c>
      <c r="G48" s="82">
        <f>IF($C12="","",$G12)</f>
        <v>-20</v>
      </c>
      <c r="H48" s="84">
        <f>IF($C12="","",IFERROR($G12/$D12,0))</f>
        <v>-3.3333333333333335</v>
      </c>
      <c r="I48" s="71">
        <f>IF($C12="","",$H12)</f>
        <v>2.5</v>
      </c>
      <c r="J48" s="38">
        <f>IF($C12="","",$I12)</f>
        <v>2.48</v>
      </c>
    </row>
    <row r="49" spans="2:10" x14ac:dyDescent="0.3">
      <c r="B49" s="81">
        <f>IF($C13="","",$B13)</f>
        <v>11</v>
      </c>
      <c r="C49" s="77" t="str">
        <f>IF($C13="","",$C13)</f>
        <v>CSAVH Lyon</v>
      </c>
      <c r="D49" s="61">
        <f>IF($C13="","",$D13)</f>
        <v>5</v>
      </c>
      <c r="E49" s="83">
        <f>IF($C13="","",$E13)</f>
        <v>16</v>
      </c>
      <c r="F49" s="83">
        <f>IF($C13="","",$F13)</f>
        <v>50</v>
      </c>
      <c r="G49" s="83">
        <f>IF($C13="","",$G13)</f>
        <v>-34</v>
      </c>
      <c r="H49" s="85">
        <f>IF($C13="","",IFERROR($G13/$D13,0))</f>
        <v>-6.8</v>
      </c>
      <c r="I49" s="72">
        <f>IF($C13="","",$H13)</f>
        <v>0</v>
      </c>
      <c r="J49" s="38">
        <f>IF($C13="","",$I13)</f>
        <v>-3.4000000000000002E-2</v>
      </c>
    </row>
    <row r="50" spans="2:10" x14ac:dyDescent="0.3">
      <c r="B50" s="80" t="str">
        <f>IF($C14="","",$B14)</f>
        <v/>
      </c>
      <c r="C50" s="75" t="str">
        <f>IF($C14="","",$C14)</f>
        <v/>
      </c>
      <c r="D50" s="59" t="str">
        <f>IF($C14="","",$D14)</f>
        <v/>
      </c>
      <c r="E50" s="82" t="str">
        <f>IF($C14="","",$E14)</f>
        <v/>
      </c>
      <c r="F50" s="82" t="str">
        <f>IF($C14="","",$F14)</f>
        <v/>
      </c>
      <c r="G50" s="82" t="str">
        <f>IF($C14="","",$G14)</f>
        <v/>
      </c>
      <c r="H50" s="84" t="str">
        <f>IF($C14="","",IFERROR($G14/$D14,0))</f>
        <v/>
      </c>
      <c r="I50" s="71" t="str">
        <f>IF($C14="","",$H14)</f>
        <v/>
      </c>
      <c r="J50" s="38" t="str">
        <f>IF($C14="","",$I14)</f>
        <v/>
      </c>
    </row>
    <row r="51" spans="2:10" x14ac:dyDescent="0.3">
      <c r="B51" s="81" t="str">
        <f>IF($C15="","",$B15)</f>
        <v/>
      </c>
      <c r="C51" s="77" t="str">
        <f>IF($C15="","",$C15)</f>
        <v/>
      </c>
      <c r="D51" s="61" t="str">
        <f>IF($C15="","",$D15)</f>
        <v/>
      </c>
      <c r="E51" s="83" t="str">
        <f>IF($C15="","",$E15)</f>
        <v/>
      </c>
      <c r="F51" s="83" t="str">
        <f>IF($C15="","",$F15)</f>
        <v/>
      </c>
      <c r="G51" s="83" t="str">
        <f>IF($C15="","",$G15)</f>
        <v/>
      </c>
      <c r="H51" s="85" t="str">
        <f>IF($C15="","",IFERROR($G15/$D15,0))</f>
        <v/>
      </c>
      <c r="I51" s="72" t="str">
        <f>IF($C15="","",$H15)</f>
        <v/>
      </c>
      <c r="J51" s="38" t="str">
        <f>IF($C15="","",$I15)</f>
        <v/>
      </c>
    </row>
    <row r="52" spans="2:10" x14ac:dyDescent="0.3">
      <c r="B52" s="80" t="str">
        <f>IF($C16="","",$B16)</f>
        <v/>
      </c>
      <c r="C52" s="75" t="str">
        <f>IF($C16="","",$C16)</f>
        <v/>
      </c>
      <c r="D52" s="59" t="str">
        <f>IF($C16="","",$D16)</f>
        <v/>
      </c>
      <c r="E52" s="82" t="str">
        <f>IF($C16="","",$E16)</f>
        <v/>
      </c>
      <c r="F52" s="82" t="str">
        <f>IF($C16="","",$F16)</f>
        <v/>
      </c>
      <c r="G52" s="82" t="str">
        <f>IF($C16="","",$G16)</f>
        <v/>
      </c>
      <c r="H52" s="84" t="str">
        <f>IF($C16="","",IFERROR($G16/$D16,0))</f>
        <v/>
      </c>
      <c r="I52" s="71" t="str">
        <f>IF($C16="","",$H16)</f>
        <v/>
      </c>
      <c r="J52" s="38" t="str">
        <f>IF($C16="","",$I16)</f>
        <v/>
      </c>
    </row>
    <row r="53" spans="2:10" x14ac:dyDescent="0.3">
      <c r="B53" s="81" t="str">
        <f>IF($C17="","",$B17)</f>
        <v/>
      </c>
      <c r="C53" s="77" t="str">
        <f>IF($C17="","",$C17)</f>
        <v/>
      </c>
      <c r="D53" s="61" t="str">
        <f>IF($C17="","",$D17)</f>
        <v/>
      </c>
      <c r="E53" s="83" t="str">
        <f>IF($C17="","",$E17)</f>
        <v/>
      </c>
      <c r="F53" s="83" t="str">
        <f>IF($C17="","",$F17)</f>
        <v/>
      </c>
      <c r="G53" s="83" t="str">
        <f>IF($C17="","",$G17)</f>
        <v/>
      </c>
      <c r="H53" s="85" t="str">
        <f>IF($C17="","",IFERROR($G17/$D17,0))</f>
        <v/>
      </c>
      <c r="I53" s="72" t="str">
        <f>IF($C17="","",$H17)</f>
        <v/>
      </c>
      <c r="J53" s="38" t="str">
        <f>IF($C17="","",$I17)</f>
        <v/>
      </c>
    </row>
    <row r="54" spans="2:10" x14ac:dyDescent="0.3">
      <c r="B54" s="80" t="str">
        <f>IF($C18="","",$B18)</f>
        <v/>
      </c>
      <c r="C54" s="75" t="str">
        <f>IF($C18="","",$C18)</f>
        <v/>
      </c>
      <c r="D54" s="59" t="str">
        <f>IF($C18="","",$D18)</f>
        <v/>
      </c>
      <c r="E54" s="82" t="str">
        <f>IF($C18="","",$E18)</f>
        <v/>
      </c>
      <c r="F54" s="82" t="str">
        <f>IF($C18="","",$F18)</f>
        <v/>
      </c>
      <c r="G54" s="82" t="str">
        <f>IF($C18="","",$G18)</f>
        <v/>
      </c>
      <c r="H54" s="84" t="str">
        <f>IF($C18="","",IFERROR($G18/$D18,0))</f>
        <v/>
      </c>
      <c r="I54" s="71" t="str">
        <f>IF($C18="","",$H18)</f>
        <v/>
      </c>
      <c r="J54" s="38" t="str">
        <f>IF($C18="","",$I18)</f>
        <v/>
      </c>
    </row>
    <row r="55" spans="2:10" x14ac:dyDescent="0.3">
      <c r="B55" s="81" t="str">
        <f>IF($C19="","",$B19)</f>
        <v/>
      </c>
      <c r="C55" s="77" t="str">
        <f>IF($C19="","",$C19)</f>
        <v/>
      </c>
      <c r="D55" s="61" t="str">
        <f>IF($C19="","",$D19)</f>
        <v/>
      </c>
      <c r="E55" s="83" t="str">
        <f>IF($C19="","",$E19)</f>
        <v/>
      </c>
      <c r="F55" s="83" t="str">
        <f>IF($C19="","",$F19)</f>
        <v/>
      </c>
      <c r="G55" s="83" t="str">
        <f>IF($C19="","",$G19)</f>
        <v/>
      </c>
      <c r="H55" s="85" t="str">
        <f>IF($C19="","",IFERROR($G19/$D19,0))</f>
        <v/>
      </c>
      <c r="I55" s="72" t="str">
        <f>IF($C19="","",$H19)</f>
        <v/>
      </c>
      <c r="J55" s="38" t="str">
        <f>IF($C19="","",$I19)</f>
        <v/>
      </c>
    </row>
    <row r="56" spans="2:10" x14ac:dyDescent="0.3">
      <c r="B56" s="80" t="str">
        <f>IF($C20="","",$B20)</f>
        <v/>
      </c>
      <c r="C56" s="75" t="str">
        <f>IF($C20="","",$C20)</f>
        <v/>
      </c>
      <c r="D56" s="59" t="str">
        <f>IF($C20="","",$D20)</f>
        <v/>
      </c>
      <c r="E56" s="82" t="str">
        <f>IF($C20="","",$E20)</f>
        <v/>
      </c>
      <c r="F56" s="82" t="str">
        <f>IF($C20="","",$F20)</f>
        <v/>
      </c>
      <c r="G56" s="82" t="str">
        <f>IF($C20="","",$G20)</f>
        <v/>
      </c>
      <c r="H56" s="84" t="str">
        <f>IF($C20="","",IFERROR($G20/$D20,0))</f>
        <v/>
      </c>
      <c r="I56" s="71" t="str">
        <f>IF($C20="","",$H20)</f>
        <v/>
      </c>
      <c r="J56" s="38" t="str">
        <f>IF($C20="","",$I20)</f>
        <v/>
      </c>
    </row>
    <row r="57" spans="2:10" x14ac:dyDescent="0.3">
      <c r="B57" s="81" t="str">
        <f>IF($C21="","",$B21)</f>
        <v/>
      </c>
      <c r="C57" s="77" t="str">
        <f>IF($C21="","",$C21)</f>
        <v/>
      </c>
      <c r="D57" s="61" t="str">
        <f>IF($C21="","",$D21)</f>
        <v/>
      </c>
      <c r="E57" s="83" t="str">
        <f>IF($C21="","",$E21)</f>
        <v/>
      </c>
      <c r="F57" s="83" t="str">
        <f>IF($C21="","",$F21)</f>
        <v/>
      </c>
      <c r="G57" s="83" t="str">
        <f>IF($C21="","",$G21)</f>
        <v/>
      </c>
      <c r="H57" s="85" t="str">
        <f>IF($C21="","",IFERROR($G21/$D21,0))</f>
        <v/>
      </c>
      <c r="I57" s="72" t="str">
        <f>IF($C21="","",$H21)</f>
        <v/>
      </c>
      <c r="J57" s="38" t="str">
        <f>IF($C21="","",$I21)</f>
        <v/>
      </c>
    </row>
    <row r="58" spans="2:10" x14ac:dyDescent="0.3">
      <c r="B58" s="80" t="str">
        <f>IF($C22="","",$B22)</f>
        <v/>
      </c>
      <c r="C58" s="75" t="str">
        <f>IF($C22="","",$C22)</f>
        <v/>
      </c>
      <c r="D58" s="59" t="str">
        <f>IF($C22="","",$D22)</f>
        <v/>
      </c>
      <c r="E58" s="82" t="str">
        <f>IF($C22="","",$E22)</f>
        <v/>
      </c>
      <c r="F58" s="82" t="str">
        <f>IF($C22="","",$F22)</f>
        <v/>
      </c>
      <c r="G58" s="82" t="str">
        <f>IF($C22="","",$G22)</f>
        <v/>
      </c>
      <c r="H58" s="84" t="str">
        <f>IF($C22="","",IFERROR($G22/$D22,0))</f>
        <v/>
      </c>
      <c r="I58" s="71" t="str">
        <f>IF($C22="","",$H22)</f>
        <v/>
      </c>
      <c r="J58" s="89" t="str">
        <f>IF($C22="","",$I22)</f>
        <v/>
      </c>
    </row>
    <row r="59" spans="2:10" x14ac:dyDescent="0.3">
      <c r="B59" s="81" t="str">
        <f>IF($C23="","",$B23)</f>
        <v/>
      </c>
      <c r="C59" s="77" t="str">
        <f>IF($C23="","",$C23)</f>
        <v/>
      </c>
      <c r="D59" s="61" t="str">
        <f>IF($C23="","",$D23)</f>
        <v/>
      </c>
      <c r="E59" s="83" t="str">
        <f>IF($C23="","",$E23)</f>
        <v/>
      </c>
      <c r="F59" s="83" t="str">
        <f>IF($C23="","",$F23)</f>
        <v/>
      </c>
      <c r="G59" s="83" t="str">
        <f>IF($C23="","",$G23)</f>
        <v/>
      </c>
      <c r="H59" s="85" t="str">
        <f>IF($C23="","",IFERROR($G23/$D23,0))</f>
        <v/>
      </c>
      <c r="I59" s="72" t="str">
        <f>IF($C23="","",$H23)</f>
        <v/>
      </c>
      <c r="J59" s="38" t="str">
        <f>IF($C23="","",$I23)</f>
        <v/>
      </c>
    </row>
    <row r="60" spans="2:10" x14ac:dyDescent="0.3">
      <c r="B60" s="80" t="str">
        <f>IF($C24="","",$B24)</f>
        <v/>
      </c>
      <c r="C60" s="75" t="str">
        <f>IF($C24="","",$C24)</f>
        <v/>
      </c>
      <c r="D60" s="59" t="str">
        <f>IF($C24="","",$D24)</f>
        <v/>
      </c>
      <c r="E60" s="82" t="str">
        <f>IF($C24="","",$E24)</f>
        <v/>
      </c>
      <c r="F60" s="82" t="str">
        <f>IF($C24="","",$F24)</f>
        <v/>
      </c>
      <c r="G60" s="82" t="str">
        <f>IF($C24="","",$G24)</f>
        <v/>
      </c>
      <c r="H60" s="84" t="str">
        <f>IF($C24="","",IFERROR($G24/$D24,0))</f>
        <v/>
      </c>
      <c r="I60" s="71" t="str">
        <f>IF($C24="","",$H24)</f>
        <v/>
      </c>
      <c r="J60" s="38" t="str">
        <f>IF($C24="","",$I24)</f>
        <v/>
      </c>
    </row>
    <row r="61" spans="2:10" x14ac:dyDescent="0.3">
      <c r="B61" s="81" t="str">
        <f>IF($C25="","",$B25)</f>
        <v/>
      </c>
      <c r="C61" s="77" t="str">
        <f>IF($C25="","",$C25)</f>
        <v/>
      </c>
      <c r="D61" s="61" t="str">
        <f>IF($C25="","",$D25)</f>
        <v/>
      </c>
      <c r="E61" s="83" t="str">
        <f>IF($C25="","",$E25)</f>
        <v/>
      </c>
      <c r="F61" s="83" t="str">
        <f>IF($C25="","",$F25)</f>
        <v/>
      </c>
      <c r="G61" s="83" t="str">
        <f>IF($C25="","",$G25)</f>
        <v/>
      </c>
      <c r="H61" s="85" t="str">
        <f>IF($C25="","",IFERROR($G25/$D25,0))</f>
        <v/>
      </c>
      <c r="I61" s="72" t="str">
        <f>IF($C25="","",$H25)</f>
        <v/>
      </c>
      <c r="J61" s="38" t="str">
        <f>IF($C25="","",$I25)</f>
        <v/>
      </c>
    </row>
    <row r="62" spans="2:10" x14ac:dyDescent="0.3">
      <c r="B62" s="80" t="str">
        <f>IF($C26="","",$B26)</f>
        <v/>
      </c>
      <c r="C62" s="75" t="str">
        <f>IF($C26="","",$C26)</f>
        <v/>
      </c>
      <c r="D62" s="59" t="str">
        <f>IF($C26="","",$D26)</f>
        <v/>
      </c>
      <c r="E62" s="82" t="str">
        <f>IF($C26="","",$E26)</f>
        <v/>
      </c>
      <c r="F62" s="82" t="str">
        <f>IF($C26="","",$F26)</f>
        <v/>
      </c>
      <c r="G62" s="82" t="str">
        <f>IF($C26="","",$G26)</f>
        <v/>
      </c>
      <c r="H62" s="84" t="str">
        <f>IF($C26="","",IFERROR($G26/$D26,0))</f>
        <v/>
      </c>
      <c r="I62" s="71" t="str">
        <f>IF($C26="","",$H26)</f>
        <v/>
      </c>
      <c r="J62" s="38" t="str">
        <f>IF($C26="","",$I26)</f>
        <v/>
      </c>
    </row>
    <row r="63" spans="2:10" x14ac:dyDescent="0.3">
      <c r="B63" s="81" t="str">
        <f>IF($C27="","",$B27)</f>
        <v/>
      </c>
      <c r="C63" s="77" t="str">
        <f>IF($C27="","",$C27)</f>
        <v/>
      </c>
      <c r="D63" s="61" t="str">
        <f>IF($C27="","",$D27)</f>
        <v/>
      </c>
      <c r="E63" s="83" t="str">
        <f>IF($C27="","",$E27)</f>
        <v/>
      </c>
      <c r="F63" s="83" t="str">
        <f>IF($C27="","",$F27)</f>
        <v/>
      </c>
      <c r="G63" s="83" t="str">
        <f>IF($C27="","",$G27)</f>
        <v/>
      </c>
      <c r="H63" s="85" t="str">
        <f>IF($C27="","",IFERROR($G27/$D27,0))</f>
        <v/>
      </c>
      <c r="I63" s="72" t="str">
        <f>IF($C27="","",$H27)</f>
        <v/>
      </c>
      <c r="J63" s="38" t="str">
        <f>IF($C27="","",$I27)</f>
        <v/>
      </c>
    </row>
    <row r="64" spans="2:10" x14ac:dyDescent="0.3">
      <c r="B64" s="80" t="str">
        <f>IF($C28="","",$B28)</f>
        <v/>
      </c>
      <c r="C64" s="75" t="str">
        <f>IF($C28="","",$C28)</f>
        <v/>
      </c>
      <c r="D64" s="59" t="str">
        <f>IF($C28="","",$D28)</f>
        <v/>
      </c>
      <c r="E64" s="82" t="str">
        <f>IF($C28="","",$E28)</f>
        <v/>
      </c>
      <c r="F64" s="82" t="str">
        <f>IF($C28="","",$F28)</f>
        <v/>
      </c>
      <c r="G64" s="82" t="str">
        <f>IF($C28="","",$G28)</f>
        <v/>
      </c>
      <c r="H64" s="84" t="str">
        <f>IF($C28="","",IFERROR($G28/$D28,0))</f>
        <v/>
      </c>
      <c r="I64" s="71" t="str">
        <f>IF($C28="","",$H28)</f>
        <v/>
      </c>
      <c r="J64" s="38" t="str">
        <f>IF($C28="","",$I28)</f>
        <v/>
      </c>
    </row>
    <row r="65" spans="2:10" x14ac:dyDescent="0.3">
      <c r="B65" s="81" t="str">
        <f>IF($C29="","",$B29)</f>
        <v/>
      </c>
      <c r="C65" s="77" t="str">
        <f>IF($C29="","",$C29)</f>
        <v/>
      </c>
      <c r="D65" s="61" t="str">
        <f>IF($C29="","",$D29)</f>
        <v/>
      </c>
      <c r="E65" s="83" t="str">
        <f>IF($C29="","",$E29)</f>
        <v/>
      </c>
      <c r="F65" s="83" t="str">
        <f>IF($C29="","",$F29)</f>
        <v/>
      </c>
      <c r="G65" s="83" t="str">
        <f>IF($C29="","",$G29)</f>
        <v/>
      </c>
      <c r="H65" s="85" t="str">
        <f>IF($C29="","",IFERROR($G29/$D29,0))</f>
        <v/>
      </c>
      <c r="I65" s="72" t="str">
        <f>IF($C29="","",$H29)</f>
        <v/>
      </c>
      <c r="J65" s="38" t="str">
        <f>IF($C29="","",$I29)</f>
        <v/>
      </c>
    </row>
    <row r="66" spans="2:10" x14ac:dyDescent="0.3">
      <c r="B66" s="80" t="str">
        <f>IF($C30="","",$B30)</f>
        <v/>
      </c>
      <c r="C66" s="75" t="str">
        <f>IF($C30="","",$C30)</f>
        <v/>
      </c>
      <c r="D66" s="59" t="str">
        <f>IF($C30="","",$D30)</f>
        <v/>
      </c>
      <c r="E66" s="82" t="str">
        <f>IF($C30="","",$E30)</f>
        <v/>
      </c>
      <c r="F66" s="82" t="str">
        <f>IF($C30="","",$F30)</f>
        <v/>
      </c>
      <c r="G66" s="82" t="str">
        <f>IF($C30="","",$G30)</f>
        <v/>
      </c>
      <c r="H66" s="84" t="str">
        <f>IF($C30="","",IFERROR($G30/$D30,0))</f>
        <v/>
      </c>
      <c r="I66" s="71" t="str">
        <f>IF($C30="","",$H30)</f>
        <v/>
      </c>
      <c r="J66" s="89" t="str">
        <f>IF($C30="","",$I30)</f>
        <v/>
      </c>
    </row>
    <row r="67" spans="2:10" x14ac:dyDescent="0.3">
      <c r="B67" s="81" t="str">
        <f>IF($C31="","",$B31)</f>
        <v/>
      </c>
      <c r="C67" s="77" t="str">
        <f>IF($C31="","",$C31)</f>
        <v/>
      </c>
      <c r="D67" s="61" t="str">
        <f>IF($C31="","",$D31)</f>
        <v/>
      </c>
      <c r="E67" s="83" t="str">
        <f>IF($C31="","",$E31)</f>
        <v/>
      </c>
      <c r="F67" s="83" t="str">
        <f>IF($C31="","",$F31)</f>
        <v/>
      </c>
      <c r="G67" s="83" t="str">
        <f>IF($C31="","",$G31)</f>
        <v/>
      </c>
      <c r="H67" s="85" t="str">
        <f>IF($C31="","",IFERROR($G31/$D31,0))</f>
        <v/>
      </c>
      <c r="I67" s="72" t="str">
        <f>IF($C31="","",$H31)</f>
        <v/>
      </c>
      <c r="J67" s="38" t="str">
        <f>IF($C31="","",$I31)</f>
        <v/>
      </c>
    </row>
    <row r="68" spans="2:10" x14ac:dyDescent="0.3">
      <c r="B68" s="80" t="str">
        <f>IF($C32="","",$B32)</f>
        <v/>
      </c>
      <c r="C68" s="75" t="str">
        <f>IF($C32="","",$C32)</f>
        <v/>
      </c>
      <c r="D68" s="59" t="str">
        <f>IF($C32="","",$D32)</f>
        <v/>
      </c>
      <c r="E68" s="82" t="str">
        <f>IF($C32="","",$E32)</f>
        <v/>
      </c>
      <c r="F68" s="82" t="str">
        <f>IF($C32="","",$F32)</f>
        <v/>
      </c>
      <c r="G68" s="82" t="str">
        <f>IF($C32="","",$G32)</f>
        <v/>
      </c>
      <c r="H68" s="84" t="str">
        <f>IF($C32="","",IFERROR($G32/$D32,0))</f>
        <v/>
      </c>
      <c r="I68" s="71" t="str">
        <f>IF($C32="","",$H32)</f>
        <v/>
      </c>
      <c r="J68" s="89" t="str">
        <f>IF($C32="","",$I32)</f>
        <v/>
      </c>
    </row>
    <row r="69" spans="2:10" x14ac:dyDescent="0.3">
      <c r="B69" s="81" t="str">
        <f>IF($C33="","",$B33)</f>
        <v/>
      </c>
      <c r="C69" s="77" t="str">
        <f>IF($C33="","",$C33)</f>
        <v/>
      </c>
      <c r="D69" s="61" t="str">
        <f>IF($C33="","",$D33)</f>
        <v/>
      </c>
      <c r="E69" s="83" t="str">
        <f>IF($C33="","",$E33)</f>
        <v/>
      </c>
      <c r="F69" s="83" t="str">
        <f>IF($C33="","",$F33)</f>
        <v/>
      </c>
      <c r="G69" s="83" t="str">
        <f>IF($C33="","",$G33)</f>
        <v/>
      </c>
      <c r="H69" s="85" t="str">
        <f>IF($C33="","",IFERROR($G33/$D33,0))</f>
        <v/>
      </c>
      <c r="I69" s="72" t="str">
        <f>IF($C33="","",$H33)</f>
        <v/>
      </c>
      <c r="J69" s="38" t="str">
        <f>IF($C33="","",$I33)</f>
        <v/>
      </c>
    </row>
    <row r="72" spans="2:10" x14ac:dyDescent="0.3">
      <c r="H72" s="58" t="s">
        <v>213</v>
      </c>
    </row>
  </sheetData>
  <sheetProtection algorithmName="SHA-512" hashValue="/AcKxY+R+a7u/djAfA4+Q3BOQoTKscmsyX2rOQqUku05Hq3hGTnHpKgF0WWWRV87tdxSBciiDQFNpgdqyIg9aQ==" saltValue="1yhELXM2Da1oCXlKuW3WZw==" spinCount="100000" sheet="1" sort="0" autoFilter="0" pivotTables="0"/>
  <pageMargins left="0.7" right="0.7" top="0.75" bottom="0.75" header="0.3" footer="0.3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429E-9C30-47AA-BC2E-C894236C8B43}">
  <sheetPr>
    <tabColor rgb="FF00B050"/>
  </sheetPr>
  <dimension ref="A1:E3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5" sqref="B5"/>
    </sheetView>
  </sheetViews>
  <sheetFormatPr defaultColWidth="8.7109375" defaultRowHeight="15.75" x14ac:dyDescent="0.25"/>
  <cols>
    <col min="1" max="1" width="5.42578125" style="62" customWidth="1"/>
    <col min="2" max="2" width="50.140625" style="63" bestFit="1" customWidth="1"/>
    <col min="3" max="3" width="21.7109375" style="63" customWidth="1"/>
    <col min="4" max="4" width="45.85546875" style="28" bestFit="1" customWidth="1"/>
    <col min="5" max="5" width="25.42578125" style="28" bestFit="1" customWidth="1"/>
    <col min="6" max="6" width="30" style="28" bestFit="1" customWidth="1"/>
    <col min="7" max="7" width="31.7109375" style="28" bestFit="1" customWidth="1"/>
    <col min="8" max="8" width="36.28515625" style="28" bestFit="1" customWidth="1"/>
    <col min="9" max="9" width="30.5703125" style="28" bestFit="1" customWidth="1"/>
    <col min="10" max="10" width="30" style="28" bestFit="1" customWidth="1"/>
    <col min="11" max="11" width="29" style="28" bestFit="1" customWidth="1"/>
    <col min="12" max="12" width="31.140625" style="28" bestFit="1" customWidth="1"/>
    <col min="13" max="14" width="34.42578125" style="28" bestFit="1" customWidth="1"/>
    <col min="15" max="15" width="10.7109375" style="28" bestFit="1" customWidth="1"/>
    <col min="16" max="16384" width="8.7109375" style="28"/>
  </cols>
  <sheetData>
    <row r="1" spans="2:3" ht="7.5" customHeight="1" x14ac:dyDescent="0.25"/>
    <row r="2" spans="2:3" x14ac:dyDescent="0.25">
      <c r="B2" s="90" t="s">
        <v>17</v>
      </c>
      <c r="C2" s="63" t="s">
        <v>23</v>
      </c>
    </row>
    <row r="4" spans="2:3" x14ac:dyDescent="0.25">
      <c r="B4" s="90" t="s">
        <v>28</v>
      </c>
      <c r="C4" s="63" t="s">
        <v>69</v>
      </c>
    </row>
    <row r="5" spans="2:3" x14ac:dyDescent="0.25">
      <c r="B5" s="91" t="s">
        <v>159</v>
      </c>
      <c r="C5" s="92">
        <v>10</v>
      </c>
    </row>
    <row r="6" spans="2:3" x14ac:dyDescent="0.25">
      <c r="B6" s="91" t="s">
        <v>161</v>
      </c>
      <c r="C6" s="92">
        <v>22.5</v>
      </c>
    </row>
    <row r="7" spans="2:3" x14ac:dyDescent="0.25">
      <c r="B7" s="93" t="s">
        <v>0</v>
      </c>
      <c r="C7" s="92">
        <v>9</v>
      </c>
    </row>
    <row r="8" spans="2:3" x14ac:dyDescent="0.25">
      <c r="B8" s="94" t="s">
        <v>188</v>
      </c>
      <c r="C8" s="92">
        <v>3</v>
      </c>
    </row>
    <row r="9" spans="2:3" x14ac:dyDescent="0.25">
      <c r="B9" s="94" t="s">
        <v>192</v>
      </c>
      <c r="C9" s="92">
        <v>3</v>
      </c>
    </row>
    <row r="10" spans="2:3" x14ac:dyDescent="0.25">
      <c r="B10" s="94" t="s">
        <v>195</v>
      </c>
      <c r="C10" s="92">
        <v>3</v>
      </c>
    </row>
    <row r="11" spans="2:3" x14ac:dyDescent="0.25">
      <c r="B11" s="93" t="s">
        <v>206</v>
      </c>
      <c r="C11" s="92">
        <v>4.5</v>
      </c>
    </row>
    <row r="12" spans="2:3" x14ac:dyDescent="0.25">
      <c r="B12" s="94" t="s">
        <v>210</v>
      </c>
      <c r="C12" s="92">
        <v>4.5</v>
      </c>
    </row>
    <row r="13" spans="2:3" x14ac:dyDescent="0.25">
      <c r="B13" s="93" t="s">
        <v>1</v>
      </c>
      <c r="C13" s="92">
        <v>4.5</v>
      </c>
    </row>
    <row r="14" spans="2:3" x14ac:dyDescent="0.25">
      <c r="B14" s="94" t="s">
        <v>200</v>
      </c>
      <c r="C14" s="92">
        <v>4.5</v>
      </c>
    </row>
    <row r="15" spans="2:3" x14ac:dyDescent="0.25">
      <c r="B15" s="93" t="s">
        <v>2</v>
      </c>
      <c r="C15" s="92">
        <v>4.5</v>
      </c>
    </row>
    <row r="16" spans="2:3" x14ac:dyDescent="0.25">
      <c r="B16" s="94" t="s">
        <v>204</v>
      </c>
      <c r="C16" s="92">
        <v>4.5</v>
      </c>
    </row>
    <row r="17" spans="2:5" x14ac:dyDescent="0.25">
      <c r="B17"/>
      <c r="C17"/>
    </row>
    <row r="18" spans="2:5" x14ac:dyDescent="0.25">
      <c r="B18"/>
      <c r="C18"/>
    </row>
    <row r="19" spans="2:5" x14ac:dyDescent="0.25">
      <c r="B19"/>
      <c r="C19"/>
    </row>
    <row r="20" spans="2:5" x14ac:dyDescent="0.25">
      <c r="B20"/>
      <c r="C20"/>
    </row>
    <row r="21" spans="2:5" x14ac:dyDescent="0.25">
      <c r="B21"/>
      <c r="C21"/>
    </row>
    <row r="22" spans="2:5" x14ac:dyDescent="0.25">
      <c r="B22"/>
      <c r="C22"/>
    </row>
    <row r="23" spans="2:5" x14ac:dyDescent="0.25">
      <c r="B23"/>
      <c r="C23"/>
    </row>
    <row r="24" spans="2:5" x14ac:dyDescent="0.25">
      <c r="B24"/>
      <c r="C24"/>
    </row>
    <row r="25" spans="2:5" x14ac:dyDescent="0.25">
      <c r="B25"/>
      <c r="C25"/>
    </row>
    <row r="26" spans="2:5" ht="15" x14ac:dyDescent="0.25">
      <c r="B26"/>
      <c r="C26"/>
    </row>
    <row r="27" spans="2:5" ht="15" x14ac:dyDescent="0.25">
      <c r="B27"/>
      <c r="C27"/>
    </row>
    <row r="28" spans="2:5" ht="15" x14ac:dyDescent="0.25">
      <c r="B28"/>
      <c r="C28"/>
    </row>
    <row r="29" spans="2:5" ht="15" x14ac:dyDescent="0.25">
      <c r="B29"/>
      <c r="C29"/>
    </row>
    <row r="30" spans="2:5" ht="15" x14ac:dyDescent="0.25">
      <c r="B30"/>
      <c r="C30"/>
    </row>
    <row r="31" spans="2:5" ht="15" x14ac:dyDescent="0.25">
      <c r="B31"/>
      <c r="C31"/>
      <c r="E31" s="32"/>
    </row>
    <row r="32" spans="2:5" ht="15" x14ac:dyDescent="0.25">
      <c r="B32"/>
      <c r="C32"/>
    </row>
    <row r="33" spans="2:3" ht="15" x14ac:dyDescent="0.25">
      <c r="B33"/>
      <c r="C33"/>
    </row>
    <row r="34" spans="2:3" ht="15" x14ac:dyDescent="0.25">
      <c r="B34"/>
      <c r="C34"/>
    </row>
    <row r="35" spans="2:3" ht="15" x14ac:dyDescent="0.25">
      <c r="B35"/>
      <c r="C35"/>
    </row>
    <row r="36" spans="2:3" ht="15" x14ac:dyDescent="0.25">
      <c r="B36"/>
      <c r="C36"/>
    </row>
    <row r="37" spans="2:3" ht="15" x14ac:dyDescent="0.25">
      <c r="B37"/>
      <c r="C37"/>
    </row>
    <row r="38" spans="2:3" ht="15" x14ac:dyDescent="0.25">
      <c r="B38" s="64"/>
      <c r="C38" s="64"/>
    </row>
  </sheetData>
  <sheetProtection algorithmName="SHA-512" hashValue="3TdbJHemEXV+HCE4epVGf9QXlgDw4barjVM9YjTxUBvgXZtwm2ewWVdga6dW1LQhX0RL1fTl371kZtPxpmNP7w==" saltValue="pF6OJuVe2IQvvEhd0ozMvg==" spinCount="100000" sheet="1" objects="1" sort="0" pivotTables="0"/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3FB1-4D28-48C7-B338-E9117220B95D}">
  <dimension ref="B2:E35"/>
  <sheetViews>
    <sheetView showGridLines="0" workbookViewId="0">
      <selection activeCell="J26" sqref="J26"/>
    </sheetView>
  </sheetViews>
  <sheetFormatPr defaultRowHeight="15" x14ac:dyDescent="0.25"/>
  <cols>
    <col min="1" max="1" width="1.5703125" customWidth="1"/>
    <col min="2" max="2" width="25.140625" bestFit="1" customWidth="1"/>
    <col min="3" max="3" width="13.42578125" bestFit="1" customWidth="1"/>
    <col min="4" max="4" width="12.140625" bestFit="1" customWidth="1"/>
    <col min="5" max="5" width="21.42578125" bestFit="1" customWidth="1"/>
  </cols>
  <sheetData>
    <row r="2" spans="2:5" x14ac:dyDescent="0.25">
      <c r="B2" s="8" t="s">
        <v>28</v>
      </c>
      <c r="C2" t="s">
        <v>62</v>
      </c>
    </row>
    <row r="3" spans="2:5" x14ac:dyDescent="0.25">
      <c r="B3" s="8" t="s">
        <v>16</v>
      </c>
      <c r="C3" t="s">
        <v>62</v>
      </c>
    </row>
    <row r="5" spans="2:5" x14ac:dyDescent="0.25">
      <c r="B5" s="8" t="s">
        <v>27</v>
      </c>
      <c r="C5" t="s">
        <v>67</v>
      </c>
      <c r="D5" t="s">
        <v>68</v>
      </c>
      <c r="E5" t="s">
        <v>71</v>
      </c>
    </row>
    <row r="6" spans="2:5" x14ac:dyDescent="0.25">
      <c r="B6" s="9" t="s">
        <v>26</v>
      </c>
      <c r="C6">
        <v>89</v>
      </c>
      <c r="D6">
        <v>75</v>
      </c>
      <c r="E6" s="14">
        <v>14</v>
      </c>
    </row>
    <row r="7" spans="2:5" x14ac:dyDescent="0.25">
      <c r="B7" s="9" t="s">
        <v>44</v>
      </c>
      <c r="C7">
        <v>47</v>
      </c>
      <c r="D7">
        <v>27</v>
      </c>
      <c r="E7" s="14">
        <v>20</v>
      </c>
    </row>
    <row r="8" spans="2:5" x14ac:dyDescent="0.25">
      <c r="B8" s="9" t="s">
        <v>34</v>
      </c>
      <c r="C8">
        <v>48</v>
      </c>
      <c r="D8">
        <v>59</v>
      </c>
      <c r="E8" s="14">
        <v>-11</v>
      </c>
    </row>
    <row r="9" spans="2:5" x14ac:dyDescent="0.25">
      <c r="B9" s="9" t="s">
        <v>55</v>
      </c>
      <c r="C9">
        <v>68</v>
      </c>
      <c r="D9">
        <v>94</v>
      </c>
      <c r="E9" s="14">
        <v>-26</v>
      </c>
    </row>
    <row r="10" spans="2:5" x14ac:dyDescent="0.25">
      <c r="B10" s="9" t="s">
        <v>43</v>
      </c>
      <c r="C10">
        <v>196</v>
      </c>
      <c r="D10">
        <v>140</v>
      </c>
      <c r="E10" s="14">
        <v>56</v>
      </c>
    </row>
    <row r="11" spans="2:5" x14ac:dyDescent="0.25">
      <c r="B11" s="9" t="s">
        <v>21</v>
      </c>
      <c r="C11">
        <v>87</v>
      </c>
      <c r="D11">
        <v>102</v>
      </c>
      <c r="E11" s="14">
        <v>-15</v>
      </c>
    </row>
    <row r="12" spans="2:5" x14ac:dyDescent="0.25">
      <c r="B12" s="9" t="s">
        <v>25</v>
      </c>
      <c r="C12">
        <v>50</v>
      </c>
      <c r="D12">
        <v>22</v>
      </c>
      <c r="E12" s="14">
        <v>28</v>
      </c>
    </row>
    <row r="13" spans="2:5" x14ac:dyDescent="0.25">
      <c r="B13" s="9" t="s">
        <v>45</v>
      </c>
      <c r="C13">
        <v>58</v>
      </c>
      <c r="D13">
        <v>34</v>
      </c>
      <c r="E13" s="14">
        <v>24</v>
      </c>
    </row>
    <row r="14" spans="2:5" x14ac:dyDescent="0.25">
      <c r="B14" s="9" t="s">
        <v>48</v>
      </c>
      <c r="C14">
        <v>18</v>
      </c>
      <c r="D14">
        <v>76</v>
      </c>
      <c r="E14" s="14">
        <v>-58</v>
      </c>
    </row>
    <row r="15" spans="2:5" x14ac:dyDescent="0.25">
      <c r="B15" s="9" t="s">
        <v>19</v>
      </c>
      <c r="C15">
        <v>92</v>
      </c>
      <c r="D15">
        <v>103</v>
      </c>
      <c r="E15" s="14">
        <v>-11</v>
      </c>
    </row>
    <row r="16" spans="2:5" x14ac:dyDescent="0.25">
      <c r="B16" s="9" t="s">
        <v>24</v>
      </c>
      <c r="C16">
        <v>77</v>
      </c>
      <c r="D16">
        <v>82</v>
      </c>
      <c r="E16" s="14">
        <v>-5</v>
      </c>
    </row>
    <row r="17" spans="2:5" x14ac:dyDescent="0.25">
      <c r="B17" s="9" t="s">
        <v>18</v>
      </c>
      <c r="C17">
        <v>72</v>
      </c>
      <c r="D17">
        <v>79</v>
      </c>
      <c r="E17" s="14">
        <v>-7</v>
      </c>
    </row>
    <row r="18" spans="2:5" x14ac:dyDescent="0.25">
      <c r="B18" s="9" t="s">
        <v>52</v>
      </c>
      <c r="C18">
        <v>78</v>
      </c>
      <c r="D18">
        <v>82</v>
      </c>
      <c r="E18" s="14">
        <v>-4</v>
      </c>
    </row>
    <row r="19" spans="2:5" x14ac:dyDescent="0.25">
      <c r="B19" s="9" t="s">
        <v>53</v>
      </c>
      <c r="C19">
        <v>21</v>
      </c>
      <c r="D19">
        <v>70</v>
      </c>
      <c r="E19" s="14">
        <v>-49</v>
      </c>
    </row>
    <row r="20" spans="2:5" x14ac:dyDescent="0.25">
      <c r="B20" s="9" t="s">
        <v>47</v>
      </c>
      <c r="C20">
        <v>61</v>
      </c>
      <c r="D20">
        <v>139</v>
      </c>
      <c r="E20" s="14">
        <v>-78</v>
      </c>
    </row>
    <row r="21" spans="2:5" x14ac:dyDescent="0.25">
      <c r="B21" s="9" t="s">
        <v>73</v>
      </c>
      <c r="C21">
        <v>167</v>
      </c>
      <c r="D21">
        <v>148</v>
      </c>
      <c r="E21" s="14">
        <v>19</v>
      </c>
    </row>
    <row r="22" spans="2:5" x14ac:dyDescent="0.25">
      <c r="B22" s="9" t="s">
        <v>40</v>
      </c>
      <c r="C22">
        <v>20</v>
      </c>
      <c r="D22">
        <v>75</v>
      </c>
      <c r="E22" s="14">
        <v>-55</v>
      </c>
    </row>
    <row r="23" spans="2:5" x14ac:dyDescent="0.25">
      <c r="B23" s="9" t="s">
        <v>22</v>
      </c>
      <c r="C23">
        <v>164</v>
      </c>
      <c r="D23">
        <v>143</v>
      </c>
      <c r="E23" s="14">
        <v>21</v>
      </c>
    </row>
    <row r="24" spans="2:5" x14ac:dyDescent="0.25">
      <c r="B24" s="9" t="s">
        <v>49</v>
      </c>
      <c r="C24">
        <v>44</v>
      </c>
      <c r="D24">
        <v>34</v>
      </c>
      <c r="E24" s="14">
        <v>10</v>
      </c>
    </row>
    <row r="25" spans="2:5" x14ac:dyDescent="0.25">
      <c r="B25" s="9" t="s">
        <v>38</v>
      </c>
      <c r="C25">
        <v>36</v>
      </c>
      <c r="D25">
        <v>33</v>
      </c>
      <c r="E25" s="14">
        <v>3</v>
      </c>
    </row>
    <row r="26" spans="2:5" x14ac:dyDescent="0.25">
      <c r="B26" s="9" t="s">
        <v>46</v>
      </c>
      <c r="C26">
        <v>60</v>
      </c>
      <c r="D26">
        <v>110</v>
      </c>
      <c r="E26" s="14">
        <v>-50</v>
      </c>
    </row>
    <row r="27" spans="2:5" x14ac:dyDescent="0.25">
      <c r="B27" s="9" t="s">
        <v>54</v>
      </c>
      <c r="C27">
        <v>78</v>
      </c>
      <c r="D27">
        <v>109</v>
      </c>
      <c r="E27" s="14">
        <v>-31</v>
      </c>
    </row>
    <row r="28" spans="2:5" x14ac:dyDescent="0.25">
      <c r="B28" s="9" t="s">
        <v>39</v>
      </c>
      <c r="C28">
        <v>100</v>
      </c>
      <c r="D28">
        <v>74</v>
      </c>
      <c r="E28" s="14">
        <v>26</v>
      </c>
    </row>
    <row r="29" spans="2:5" x14ac:dyDescent="0.25">
      <c r="B29" s="9" t="s">
        <v>51</v>
      </c>
      <c r="C29">
        <v>152</v>
      </c>
      <c r="D29">
        <v>107</v>
      </c>
      <c r="E29" s="14">
        <v>45</v>
      </c>
    </row>
    <row r="30" spans="2:5" x14ac:dyDescent="0.25">
      <c r="B30" s="9" t="s">
        <v>20</v>
      </c>
      <c r="C30">
        <v>78</v>
      </c>
      <c r="D30">
        <v>89</v>
      </c>
      <c r="E30" s="14">
        <v>-11</v>
      </c>
    </row>
    <row r="31" spans="2:5" x14ac:dyDescent="0.25">
      <c r="B31" s="9" t="s">
        <v>23</v>
      </c>
      <c r="C31">
        <v>190</v>
      </c>
      <c r="D31">
        <v>132</v>
      </c>
      <c r="E31" s="14">
        <v>58</v>
      </c>
    </row>
    <row r="32" spans="2:5" x14ac:dyDescent="0.25">
      <c r="B32" s="9" t="s">
        <v>42</v>
      </c>
      <c r="C32">
        <v>37</v>
      </c>
      <c r="D32">
        <v>41</v>
      </c>
      <c r="E32" s="14">
        <v>-4</v>
      </c>
    </row>
    <row r="33" spans="2:5" x14ac:dyDescent="0.25">
      <c r="B33" s="9" t="s">
        <v>50</v>
      </c>
      <c r="C33">
        <v>180</v>
      </c>
      <c r="D33">
        <v>96</v>
      </c>
      <c r="E33" s="14">
        <v>84</v>
      </c>
    </row>
    <row r="34" spans="2:5" x14ac:dyDescent="0.25">
      <c r="B34" s="9" t="s">
        <v>37</v>
      </c>
      <c r="C34">
        <v>106</v>
      </c>
      <c r="D34">
        <v>95</v>
      </c>
      <c r="E34" s="14">
        <v>11</v>
      </c>
    </row>
    <row r="35" spans="2:5" x14ac:dyDescent="0.25">
      <c r="B35" s="9" t="s">
        <v>56</v>
      </c>
      <c r="C35">
        <v>87</v>
      </c>
      <c r="D35">
        <v>90</v>
      </c>
      <c r="E35" s="14">
        <v>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F49D-5584-4903-A60F-94F4457FA355}">
  <dimension ref="B2:E36"/>
  <sheetViews>
    <sheetView workbookViewId="0">
      <selection activeCell="B17" sqref="B17"/>
    </sheetView>
  </sheetViews>
  <sheetFormatPr defaultRowHeight="15" x14ac:dyDescent="0.25"/>
  <cols>
    <col min="2" max="2" width="25.140625" bestFit="1" customWidth="1"/>
    <col min="5" max="5" width="14.42578125" bestFit="1" customWidth="1"/>
  </cols>
  <sheetData>
    <row r="2" spans="2:5" x14ac:dyDescent="0.25">
      <c r="B2" t="s">
        <v>17</v>
      </c>
    </row>
    <row r="3" spans="2:5" x14ac:dyDescent="0.25">
      <c r="B3" s="9" t="s">
        <v>26</v>
      </c>
      <c r="E3" s="86"/>
    </row>
    <row r="4" spans="2:5" x14ac:dyDescent="0.25">
      <c r="B4" s="9" t="s">
        <v>44</v>
      </c>
      <c r="E4" s="86"/>
    </row>
    <row r="5" spans="2:5" x14ac:dyDescent="0.25">
      <c r="B5" s="9" t="s">
        <v>34</v>
      </c>
      <c r="E5" s="86"/>
    </row>
    <row r="6" spans="2:5" x14ac:dyDescent="0.25">
      <c r="B6" s="9" t="s">
        <v>55</v>
      </c>
      <c r="E6" s="86"/>
    </row>
    <row r="7" spans="2:5" x14ac:dyDescent="0.25">
      <c r="B7" s="9" t="s">
        <v>43</v>
      </c>
      <c r="E7" s="86"/>
    </row>
    <row r="8" spans="2:5" x14ac:dyDescent="0.25">
      <c r="B8" s="9" t="s">
        <v>21</v>
      </c>
      <c r="E8" s="86"/>
    </row>
    <row r="9" spans="2:5" x14ac:dyDescent="0.25">
      <c r="B9" s="9" t="s">
        <v>25</v>
      </c>
      <c r="E9" s="86"/>
    </row>
    <row r="10" spans="2:5" x14ac:dyDescent="0.25">
      <c r="B10" s="9" t="s">
        <v>45</v>
      </c>
      <c r="E10" s="86"/>
    </row>
    <row r="11" spans="2:5" x14ac:dyDescent="0.25">
      <c r="B11" s="9" t="s">
        <v>48</v>
      </c>
      <c r="E11" s="86"/>
    </row>
    <row r="12" spans="2:5" x14ac:dyDescent="0.25">
      <c r="B12" s="9" t="s">
        <v>19</v>
      </c>
      <c r="E12" s="86"/>
    </row>
    <row r="13" spans="2:5" x14ac:dyDescent="0.25">
      <c r="B13" s="9" t="s">
        <v>24</v>
      </c>
    </row>
    <row r="14" spans="2:5" x14ac:dyDescent="0.25">
      <c r="B14" s="9" t="s">
        <v>18</v>
      </c>
    </row>
    <row r="15" spans="2:5" x14ac:dyDescent="0.25">
      <c r="B15" t="s">
        <v>98</v>
      </c>
    </row>
    <row r="16" spans="2:5" x14ac:dyDescent="0.25">
      <c r="B16" s="9" t="s">
        <v>52</v>
      </c>
    </row>
    <row r="17" spans="2:2" x14ac:dyDescent="0.25">
      <c r="B17" s="29" t="s">
        <v>53</v>
      </c>
    </row>
    <row r="18" spans="2:2" x14ac:dyDescent="0.25">
      <c r="B18" t="s">
        <v>99</v>
      </c>
    </row>
    <row r="19" spans="2:2" x14ac:dyDescent="0.25">
      <c r="B19" s="9" t="s">
        <v>47</v>
      </c>
    </row>
    <row r="20" spans="2:2" x14ac:dyDescent="0.25">
      <c r="B20" s="29" t="s">
        <v>73</v>
      </c>
    </row>
    <row r="21" spans="2:2" x14ac:dyDescent="0.25">
      <c r="B21" s="9" t="s">
        <v>40</v>
      </c>
    </row>
    <row r="22" spans="2:2" x14ac:dyDescent="0.25">
      <c r="B22" s="9" t="s">
        <v>22</v>
      </c>
    </row>
    <row r="23" spans="2:2" x14ac:dyDescent="0.25">
      <c r="B23" s="9" t="s">
        <v>49</v>
      </c>
    </row>
    <row r="24" spans="2:2" x14ac:dyDescent="0.25">
      <c r="B24" s="9" t="s">
        <v>38</v>
      </c>
    </row>
    <row r="25" spans="2:2" x14ac:dyDescent="0.25">
      <c r="B25" t="s">
        <v>97</v>
      </c>
    </row>
    <row r="26" spans="2:2" x14ac:dyDescent="0.25">
      <c r="B26" s="9" t="s">
        <v>46</v>
      </c>
    </row>
    <row r="27" spans="2:2" x14ac:dyDescent="0.25">
      <c r="B27" s="29" t="s">
        <v>54</v>
      </c>
    </row>
    <row r="28" spans="2:2" x14ac:dyDescent="0.25">
      <c r="B28" s="9" t="s">
        <v>39</v>
      </c>
    </row>
    <row r="29" spans="2:2" x14ac:dyDescent="0.25">
      <c r="B29" s="29" t="s">
        <v>51</v>
      </c>
    </row>
    <row r="30" spans="2:2" x14ac:dyDescent="0.25">
      <c r="B30" s="9" t="s">
        <v>20</v>
      </c>
    </row>
    <row r="31" spans="2:2" x14ac:dyDescent="0.25">
      <c r="B31" s="9" t="s">
        <v>23</v>
      </c>
    </row>
    <row r="32" spans="2:2" x14ac:dyDescent="0.25">
      <c r="B32" s="9" t="s">
        <v>42</v>
      </c>
    </row>
    <row r="33" spans="2:2" x14ac:dyDescent="0.25">
      <c r="B33" s="9" t="s">
        <v>50</v>
      </c>
    </row>
    <row r="34" spans="2:2" x14ac:dyDescent="0.25">
      <c r="B34" s="9" t="s">
        <v>37</v>
      </c>
    </row>
    <row r="35" spans="2:2" x14ac:dyDescent="0.25">
      <c r="B35" s="9" t="s">
        <v>56</v>
      </c>
    </row>
    <row r="36" spans="2:2" x14ac:dyDescent="0.25">
      <c r="B36" t="s">
        <v>100</v>
      </c>
    </row>
  </sheetData>
  <autoFilter ref="B2:B36" xr:uid="{CF84F49D-5584-4903-A60F-94F4457FA355}">
    <sortState xmlns:xlrd2="http://schemas.microsoft.com/office/spreadsheetml/2017/richdata2" ref="B3:B36">
      <sortCondition ref="B2:B36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52A7-F597-4E71-90A9-440C6881A6D0}">
  <dimension ref="A2:U205"/>
  <sheetViews>
    <sheetView topLeftCell="E1" zoomScale="90" zoomScaleNormal="90" workbookViewId="0">
      <pane ySplit="2" topLeftCell="A85" activePane="bottomLeft" state="frozen"/>
      <selection pane="bottomLeft" activeCell="U89" sqref="U89"/>
    </sheetView>
  </sheetViews>
  <sheetFormatPr defaultRowHeight="15" x14ac:dyDescent="0.25"/>
  <cols>
    <col min="1" max="1" width="16.140625" style="9" bestFit="1" customWidth="1"/>
    <col min="2" max="2" width="12" style="18" bestFit="1" customWidth="1"/>
    <col min="3" max="3" width="23.7109375" bestFit="1" customWidth="1"/>
    <col min="4" max="4" width="10.7109375" bestFit="1" customWidth="1"/>
    <col min="5" max="5" width="42.42578125" bestFit="1" customWidth="1"/>
    <col min="6" max="6" width="14.28515625" style="1" bestFit="1" customWidth="1"/>
    <col min="7" max="7" width="17.28515625" style="1" bestFit="1" customWidth="1"/>
    <col min="8" max="8" width="16.42578125" style="1" bestFit="1" customWidth="1"/>
    <col min="9" max="9" width="23.7109375" style="9" customWidth="1"/>
    <col min="10" max="10" width="8.28515625" style="1" customWidth="1"/>
    <col min="11" max="11" width="17.28515625" style="1" customWidth="1"/>
    <col min="12" max="12" width="17.85546875" style="1" customWidth="1"/>
    <col min="13" max="13" width="21.5703125" style="1" customWidth="1"/>
    <col min="14" max="14" width="13.140625" bestFit="1" customWidth="1"/>
    <col min="15" max="15" width="36.140625" bestFit="1" customWidth="1"/>
    <col min="16" max="16" width="8.85546875" bestFit="1" customWidth="1"/>
    <col min="17" max="17" width="8.7109375" style="11" bestFit="1" customWidth="1"/>
    <col min="18" max="20" width="17.85546875" bestFit="1" customWidth="1"/>
    <col min="21" max="21" width="9.85546875" bestFit="1" customWidth="1"/>
  </cols>
  <sheetData>
    <row r="2" spans="1:21" s="24" customFormat="1" ht="60" x14ac:dyDescent="0.25">
      <c r="A2" s="43" t="s">
        <v>28</v>
      </c>
      <c r="B2" s="44" t="s">
        <v>16</v>
      </c>
      <c r="C2" s="45" t="s">
        <v>17</v>
      </c>
      <c r="D2" s="45" t="s">
        <v>33</v>
      </c>
      <c r="E2" s="45" t="s">
        <v>36</v>
      </c>
      <c r="F2" s="45" t="s">
        <v>88</v>
      </c>
      <c r="G2" s="45" t="s">
        <v>89</v>
      </c>
      <c r="H2" s="45" t="s">
        <v>70</v>
      </c>
      <c r="I2" s="45" t="s">
        <v>63</v>
      </c>
      <c r="J2" s="45" t="s">
        <v>64</v>
      </c>
      <c r="K2" s="45" t="s">
        <v>66</v>
      </c>
      <c r="L2" s="45" t="s">
        <v>65</v>
      </c>
      <c r="M2" s="45" t="s">
        <v>93</v>
      </c>
      <c r="N2" s="45" t="s">
        <v>29</v>
      </c>
      <c r="O2" s="45" t="s">
        <v>10</v>
      </c>
      <c r="P2" s="45" t="s">
        <v>11</v>
      </c>
      <c r="Q2" s="46" t="s">
        <v>12</v>
      </c>
      <c r="R2" s="45" t="s">
        <v>57</v>
      </c>
      <c r="S2" s="45" t="s">
        <v>58</v>
      </c>
      <c r="T2" s="45" t="s">
        <v>59</v>
      </c>
      <c r="U2" s="47" t="s">
        <v>76</v>
      </c>
    </row>
    <row r="3" spans="1:21" x14ac:dyDescent="0.25">
      <c r="A3" s="40" t="s">
        <v>159</v>
      </c>
      <c r="B3" s="15" t="s">
        <v>160</v>
      </c>
      <c r="C3" s="4" t="s">
        <v>100</v>
      </c>
      <c r="D3" s="4" t="s">
        <v>105</v>
      </c>
      <c r="E3" s="4" t="s">
        <v>101</v>
      </c>
      <c r="F3" s="25">
        <f t="shared" ref="F3:F66" si="0">IF($I3="","",IF(TRIM(SUBSTITUTE($C3,CHAR(160)," "))=TRIM(SUBSTITUTE($I3,CHAR(160)," ")),$K3,$L3))</f>
        <v>8</v>
      </c>
      <c r="G3" s="25">
        <f t="shared" ref="G3:G66" si="1">IF($I3="","",IF(TRIM(SUBSTITUTE($C3,CHAR(160)," "))=TRIM(SUBSTITUTE($I3,CHAR(160)," ")),$L3,$K3))</f>
        <v>14</v>
      </c>
      <c r="H3" s="25">
        <f t="shared" ref="H3:H61" si="2">F3-G3</f>
        <v>-6</v>
      </c>
      <c r="I3" s="13" t="str">
        <f t="shared" ref="I3:I19" si="3">TRIM(LEFT(E3,FIND(" – ",E3)-1))</f>
        <v>USV Hercules</v>
      </c>
      <c r="J3" s="2" t="str" cm="1">
        <f t="array" ref="J3">TRIM(RIGHT(E3,LEN(E3)-LOOKUP(2,1/(MID(E3,ROW($1:$60),1)=" "),ROW($1:$60))))</f>
        <v>8-14</v>
      </c>
      <c r="K3" s="2">
        <f t="shared" ref="K3:K34" si="4">VALUE(LEFT(J3,FIND("-",SUBSTITUTE(J3,":","-"))-1))</f>
        <v>8</v>
      </c>
      <c r="L3" s="2">
        <f t="shared" ref="L3:L34" si="5">VALUE(RIGHT(SUBSTITUTE(J3,":","-"),LEN(SUBSTITUTE(J3,":","-"))-FIND("-",SUBSTITUTE(J3,":","-"))))</f>
        <v>14</v>
      </c>
      <c r="M3" s="26">
        <f t="shared" ref="M3:M61" si="6">IF(OR(O3="",ISNUMBER(IFERROR(SEARCH("special",O3),""))),0,1)</f>
        <v>1</v>
      </c>
      <c r="N3" s="3" t="s">
        <v>0</v>
      </c>
      <c r="O3" s="3" t="s">
        <v>9</v>
      </c>
      <c r="P3" s="4" t="s">
        <v>4</v>
      </c>
      <c r="Q3" s="10">
        <f>IF(OR(O3="",P3=""),"",SUMIFS('1. Points System'!$E$3:$E$24,'1. Points System'!$C$3:$C$24,O3,'1. Points System'!$D$3:$D$24,P3))</f>
        <v>0</v>
      </c>
      <c r="R3" s="6">
        <f t="shared" ref="R3:R34" si="7">Q3</f>
        <v>0</v>
      </c>
      <c r="S3" s="20">
        <f t="shared" ref="S3:S34" si="8">R3/2</f>
        <v>0</v>
      </c>
      <c r="T3" s="21"/>
      <c r="U3" s="42">
        <f>MasterDataTbl[[#This Row],[2026 Total Points]]+(MasterDataTbl[[#This Row],[Goal Difference]]/1000)</f>
        <v>-6.0000000000000001E-3</v>
      </c>
    </row>
    <row r="4" spans="1:21" x14ac:dyDescent="0.25">
      <c r="A4" s="40" t="s">
        <v>159</v>
      </c>
      <c r="B4" s="15" t="s">
        <v>160</v>
      </c>
      <c r="C4" s="3" t="s">
        <v>23</v>
      </c>
      <c r="D4" s="4" t="s">
        <v>105</v>
      </c>
      <c r="E4" s="4" t="s">
        <v>101</v>
      </c>
      <c r="F4" s="26">
        <f t="shared" si="0"/>
        <v>14</v>
      </c>
      <c r="G4" s="26">
        <f t="shared" si="1"/>
        <v>8</v>
      </c>
      <c r="H4" s="25">
        <f t="shared" si="2"/>
        <v>6</v>
      </c>
      <c r="I4" s="13" t="str">
        <f t="shared" si="3"/>
        <v>USV Hercules</v>
      </c>
      <c r="J4" s="2" t="str" cm="1">
        <f t="array" ref="J4">TRIM(RIGHT(E4,LEN(E4)-LOOKUP(2,1/(MID(E4,ROW($1:$60),1)=" "),ROW($1:$60))))</f>
        <v>8-14</v>
      </c>
      <c r="K4" s="2">
        <f t="shared" si="4"/>
        <v>8</v>
      </c>
      <c r="L4" s="2">
        <f t="shared" si="5"/>
        <v>14</v>
      </c>
      <c r="M4" s="26">
        <f t="shared" si="6"/>
        <v>1</v>
      </c>
      <c r="N4" s="3" t="s">
        <v>0</v>
      </c>
      <c r="O4" s="3" t="s">
        <v>9</v>
      </c>
      <c r="P4" s="3" t="s">
        <v>3</v>
      </c>
      <c r="Q4" s="10">
        <f>IF(OR(O4="",P4=""),"",SUMIFS('1. Points System'!$E$3:$E$24,'1. Points System'!$C$3:$C$24,O4,'1. Points System'!$D$3:$D$24,P4))</f>
        <v>3</v>
      </c>
      <c r="R4" s="6">
        <f t="shared" si="7"/>
        <v>3</v>
      </c>
      <c r="S4" s="20">
        <f t="shared" si="8"/>
        <v>1.5</v>
      </c>
      <c r="T4" s="21"/>
      <c r="U4" s="42">
        <f>MasterDataTbl[[#This Row],[2026 Total Points]]+(MasterDataTbl[[#This Row],[Goal Difference]]/1000)</f>
        <v>1.506</v>
      </c>
    </row>
    <row r="5" spans="1:21" x14ac:dyDescent="0.25">
      <c r="A5" s="40" t="s">
        <v>159</v>
      </c>
      <c r="B5" s="15" t="s">
        <v>160</v>
      </c>
      <c r="C5" s="3" t="s">
        <v>50</v>
      </c>
      <c r="D5" s="3" t="s">
        <v>106</v>
      </c>
      <c r="E5" s="4" t="s">
        <v>102</v>
      </c>
      <c r="F5" s="26">
        <f t="shared" si="0"/>
        <v>4</v>
      </c>
      <c r="G5" s="26">
        <f t="shared" si="1"/>
        <v>1</v>
      </c>
      <c r="H5" s="25">
        <f t="shared" si="2"/>
        <v>3</v>
      </c>
      <c r="I5" s="13" t="str">
        <f t="shared" si="3"/>
        <v>RGC Hansa</v>
      </c>
      <c r="J5" s="2" t="str" cm="1">
        <f t="array" ref="J5">TRIM(RIGHT(E5,LEN(E5)-LOOKUP(2,1/(MID(E5,ROW($1:$60),1)=" "),ROW($1:$60))))</f>
        <v>4-1</v>
      </c>
      <c r="K5" s="2">
        <f t="shared" si="4"/>
        <v>4</v>
      </c>
      <c r="L5" s="2">
        <f t="shared" si="5"/>
        <v>1</v>
      </c>
      <c r="M5" s="26">
        <f t="shared" si="6"/>
        <v>1</v>
      </c>
      <c r="N5" s="3" t="s">
        <v>0</v>
      </c>
      <c r="O5" s="3" t="s">
        <v>9</v>
      </c>
      <c r="P5" s="3" t="s">
        <v>3</v>
      </c>
      <c r="Q5" s="10">
        <f>IF(OR(O5="",P5=""),"",SUMIFS('1. Points System'!$E$3:$E$24,'1. Points System'!$C$3:$C$24,O5,'1. Points System'!$D$3:$D$24,P5))</f>
        <v>3</v>
      </c>
      <c r="R5" s="6">
        <f t="shared" si="7"/>
        <v>3</v>
      </c>
      <c r="S5" s="20">
        <f t="shared" si="8"/>
        <v>1.5</v>
      </c>
      <c r="T5" s="21"/>
      <c r="U5" s="42">
        <f>MasterDataTbl[[#This Row],[2026 Total Points]]+(MasterDataTbl[[#This Row],[Goal Difference]]/1000)</f>
        <v>1.5029999999999999</v>
      </c>
    </row>
    <row r="6" spans="1:21" x14ac:dyDescent="0.25">
      <c r="A6" s="40" t="s">
        <v>159</v>
      </c>
      <c r="B6" s="15" t="s">
        <v>160</v>
      </c>
      <c r="C6" s="3" t="s">
        <v>99</v>
      </c>
      <c r="D6" s="3" t="s">
        <v>106</v>
      </c>
      <c r="E6" s="4" t="s">
        <v>102</v>
      </c>
      <c r="F6" s="26">
        <f t="shared" si="0"/>
        <v>1</v>
      </c>
      <c r="G6" s="26">
        <f t="shared" si="1"/>
        <v>4</v>
      </c>
      <c r="H6" s="25">
        <f t="shared" si="2"/>
        <v>-3</v>
      </c>
      <c r="I6" s="13" t="str">
        <f t="shared" si="3"/>
        <v>RGC Hansa</v>
      </c>
      <c r="J6" s="2" t="str" cm="1">
        <f t="array" ref="J6">TRIM(RIGHT(E6,LEN(E6)-LOOKUP(2,1/(MID(E6,ROW($1:$60),1)=" "),ROW($1:$60))))</f>
        <v>4-1</v>
      </c>
      <c r="K6" s="2">
        <f t="shared" si="4"/>
        <v>4</v>
      </c>
      <c r="L6" s="2">
        <f t="shared" si="5"/>
        <v>1</v>
      </c>
      <c r="M6" s="26">
        <f t="shared" si="6"/>
        <v>1</v>
      </c>
      <c r="N6" s="3" t="s">
        <v>0</v>
      </c>
      <c r="O6" s="3" t="s">
        <v>9</v>
      </c>
      <c r="P6" s="3" t="s">
        <v>4</v>
      </c>
      <c r="Q6" s="10">
        <f>IF(OR(O6="",P6=""),"",SUMIFS('1. Points System'!$E$3:$E$24,'1. Points System'!$C$3:$C$24,O6,'1. Points System'!$D$3:$D$24,P6))</f>
        <v>0</v>
      </c>
      <c r="R6" s="6">
        <f t="shared" si="7"/>
        <v>0</v>
      </c>
      <c r="S6" s="20">
        <f t="shared" si="8"/>
        <v>0</v>
      </c>
      <c r="T6" s="21"/>
      <c r="U6" s="42">
        <f>MasterDataTbl[[#This Row],[2026 Total Points]]+(MasterDataTbl[[#This Row],[Goal Difference]]/1000)</f>
        <v>-3.0000000000000001E-3</v>
      </c>
    </row>
    <row r="7" spans="1:21" x14ac:dyDescent="0.25">
      <c r="A7" s="40" t="s">
        <v>159</v>
      </c>
      <c r="B7" s="15" t="s">
        <v>160</v>
      </c>
      <c r="C7" s="3" t="s">
        <v>19</v>
      </c>
      <c r="D7" s="3" t="s">
        <v>107</v>
      </c>
      <c r="E7" s="4" t="s">
        <v>103</v>
      </c>
      <c r="F7" s="26">
        <f t="shared" si="0"/>
        <v>5</v>
      </c>
      <c r="G7" s="26">
        <f t="shared" si="1"/>
        <v>12</v>
      </c>
      <c r="H7" s="25">
        <f t="shared" si="2"/>
        <v>-7</v>
      </c>
      <c r="I7" s="13" t="str">
        <f t="shared" si="3"/>
        <v>CSAVH Lyon</v>
      </c>
      <c r="J7" s="2" t="str" cm="1">
        <f t="array" ref="J7">TRIM(RIGHT(E7,LEN(E7)-LOOKUP(2,1/(MID(E7,ROW($1:$60),1)=" "),ROW($1:$60))))</f>
        <v>5-12</v>
      </c>
      <c r="K7" s="2">
        <f t="shared" si="4"/>
        <v>5</v>
      </c>
      <c r="L7" s="2">
        <f t="shared" si="5"/>
        <v>12</v>
      </c>
      <c r="M7" s="26">
        <f t="shared" si="6"/>
        <v>1</v>
      </c>
      <c r="N7" s="3" t="s">
        <v>0</v>
      </c>
      <c r="O7" s="3" t="s">
        <v>9</v>
      </c>
      <c r="P7" s="3" t="s">
        <v>4</v>
      </c>
      <c r="Q7" s="10">
        <f>IF(OR(O7="",P7=""),"",SUMIFS('1. Points System'!$E$3:$E$24,'1. Points System'!$C$3:$C$24,O7,'1. Points System'!$D$3:$D$24,P7))</f>
        <v>0</v>
      </c>
      <c r="R7" s="6">
        <f t="shared" si="7"/>
        <v>0</v>
      </c>
      <c r="S7" s="20">
        <f t="shared" si="8"/>
        <v>0</v>
      </c>
      <c r="T7" s="21"/>
      <c r="U7" s="42">
        <f>MasterDataTbl[[#This Row],[2026 Total Points]]+(MasterDataTbl[[#This Row],[Goal Difference]]/1000)</f>
        <v>-7.0000000000000001E-3</v>
      </c>
    </row>
    <row r="8" spans="1:21" x14ac:dyDescent="0.25">
      <c r="A8" s="40" t="s">
        <v>159</v>
      </c>
      <c r="B8" s="15" t="s">
        <v>160</v>
      </c>
      <c r="C8" s="3" t="s">
        <v>54</v>
      </c>
      <c r="D8" s="3" t="s">
        <v>107</v>
      </c>
      <c r="E8" s="4" t="s">
        <v>103</v>
      </c>
      <c r="F8" s="26">
        <f t="shared" si="0"/>
        <v>12</v>
      </c>
      <c r="G8" s="26">
        <f t="shared" si="1"/>
        <v>5</v>
      </c>
      <c r="H8" s="25">
        <f t="shared" si="2"/>
        <v>7</v>
      </c>
      <c r="I8" s="13" t="str">
        <f t="shared" si="3"/>
        <v>CSAVH Lyon</v>
      </c>
      <c r="J8" s="2" t="str" cm="1">
        <f t="array" ref="J8">TRIM(RIGHT(E8,LEN(E8)-LOOKUP(2,1/(MID(E8,ROW($1:$60),1)=" "),ROW($1:$60))))</f>
        <v>5-12</v>
      </c>
      <c r="K8" s="2">
        <f t="shared" si="4"/>
        <v>5</v>
      </c>
      <c r="L8" s="2">
        <f t="shared" si="5"/>
        <v>12</v>
      </c>
      <c r="M8" s="26">
        <f t="shared" si="6"/>
        <v>1</v>
      </c>
      <c r="N8" s="3" t="s">
        <v>0</v>
      </c>
      <c r="O8" s="3" t="s">
        <v>9</v>
      </c>
      <c r="P8" s="3" t="s">
        <v>3</v>
      </c>
      <c r="Q8" s="10">
        <f>IF(OR(O8="",P8=""),"",SUMIFS('1. Points System'!$E$3:$E$24,'1. Points System'!$C$3:$C$24,O8,'1. Points System'!$D$3:$D$24,P8))</f>
        <v>3</v>
      </c>
      <c r="R8" s="6">
        <f t="shared" si="7"/>
        <v>3</v>
      </c>
      <c r="S8" s="20">
        <f t="shared" si="8"/>
        <v>1.5</v>
      </c>
      <c r="T8" s="21"/>
      <c r="U8" s="42">
        <f>MasterDataTbl[[#This Row],[2026 Total Points]]+(MasterDataTbl[[#This Row],[Goal Difference]]/1000)</f>
        <v>1.5069999999999999</v>
      </c>
    </row>
    <row r="9" spans="1:21" x14ac:dyDescent="0.25">
      <c r="A9" s="40" t="s">
        <v>159</v>
      </c>
      <c r="B9" s="15" t="s">
        <v>160</v>
      </c>
      <c r="C9" s="3" t="s">
        <v>53</v>
      </c>
      <c r="D9" s="3" t="s">
        <v>108</v>
      </c>
      <c r="E9" s="4" t="s">
        <v>104</v>
      </c>
      <c r="F9" s="26">
        <f t="shared" si="0"/>
        <v>8</v>
      </c>
      <c r="G9" s="26">
        <f t="shared" si="1"/>
        <v>1</v>
      </c>
      <c r="H9" s="25">
        <f t="shared" si="2"/>
        <v>7</v>
      </c>
      <c r="I9" s="13" t="str">
        <f t="shared" si="3"/>
        <v>Füchse Berlin</v>
      </c>
      <c r="J9" s="2" t="str" cm="1">
        <f t="array" ref="J9">TRIM(RIGHT(E9,LEN(E9)-LOOKUP(2,1/(MID(E9,ROW($1:$60),1)=" "),ROW($1:$60))))</f>
        <v>8-1</v>
      </c>
      <c r="K9" s="2">
        <f t="shared" si="4"/>
        <v>8</v>
      </c>
      <c r="L9" s="2">
        <f t="shared" si="5"/>
        <v>1</v>
      </c>
      <c r="M9" s="26">
        <f t="shared" si="6"/>
        <v>1</v>
      </c>
      <c r="N9" s="3" t="s">
        <v>0</v>
      </c>
      <c r="O9" s="3" t="s">
        <v>9</v>
      </c>
      <c r="P9" s="3" t="s">
        <v>3</v>
      </c>
      <c r="Q9" s="10">
        <f>IF(OR(O9="",P9=""),"",SUMIFS('1. Points System'!$E$3:$E$24,'1. Points System'!$C$3:$C$24,O9,'1. Points System'!$D$3:$D$24,P9))</f>
        <v>3</v>
      </c>
      <c r="R9" s="6">
        <f t="shared" si="7"/>
        <v>3</v>
      </c>
      <c r="S9" s="20">
        <f t="shared" si="8"/>
        <v>1.5</v>
      </c>
      <c r="T9" s="21"/>
      <c r="U9" s="42">
        <f>MasterDataTbl[[#This Row],[2026 Total Points]]+(MasterDataTbl[[#This Row],[Goal Difference]]/1000)</f>
        <v>1.5069999999999999</v>
      </c>
    </row>
    <row r="10" spans="1:21" x14ac:dyDescent="0.25">
      <c r="A10" s="40" t="s">
        <v>159</v>
      </c>
      <c r="B10" s="15" t="s">
        <v>160</v>
      </c>
      <c r="C10" s="3" t="s">
        <v>46</v>
      </c>
      <c r="D10" s="3" t="s">
        <v>108</v>
      </c>
      <c r="E10" s="4" t="s">
        <v>104</v>
      </c>
      <c r="F10" s="26">
        <f t="shared" si="0"/>
        <v>1</v>
      </c>
      <c r="G10" s="26">
        <f t="shared" si="1"/>
        <v>8</v>
      </c>
      <c r="H10" s="25">
        <f t="shared" si="2"/>
        <v>-7</v>
      </c>
      <c r="I10" s="13" t="str">
        <f t="shared" si="3"/>
        <v>Füchse Berlin</v>
      </c>
      <c r="J10" s="2" t="str" cm="1">
        <f t="array" ref="J10">TRIM(RIGHT(E10,LEN(E10)-LOOKUP(2,1/(MID(E10,ROW($1:$60),1)=" "),ROW($1:$60))))</f>
        <v>8-1</v>
      </c>
      <c r="K10" s="2">
        <f t="shared" si="4"/>
        <v>8</v>
      </c>
      <c r="L10" s="2">
        <f t="shared" si="5"/>
        <v>1</v>
      </c>
      <c r="M10" s="26">
        <f t="shared" si="6"/>
        <v>1</v>
      </c>
      <c r="N10" s="3" t="s">
        <v>0</v>
      </c>
      <c r="O10" s="3" t="s">
        <v>9</v>
      </c>
      <c r="P10" s="3" t="s">
        <v>4</v>
      </c>
      <c r="Q10" s="10">
        <f>IF(OR(O10="",P10=""),"",SUMIFS('1. Points System'!$E$3:$E$24,'1. Points System'!$C$3:$C$24,O10,'1. Points System'!$D$3:$D$24,P10))</f>
        <v>0</v>
      </c>
      <c r="R10" s="6">
        <f t="shared" si="7"/>
        <v>0</v>
      </c>
      <c r="S10" s="20">
        <f t="shared" si="8"/>
        <v>0</v>
      </c>
      <c r="T10" s="21"/>
      <c r="U10" s="42">
        <f>MasterDataTbl[[#This Row],[2026 Total Points]]+(MasterDataTbl[[#This Row],[Goal Difference]]/1000)</f>
        <v>-7.0000000000000001E-3</v>
      </c>
    </row>
    <row r="11" spans="1:21" x14ac:dyDescent="0.25">
      <c r="A11" s="40" t="s">
        <v>159</v>
      </c>
      <c r="B11" s="15" t="s">
        <v>160</v>
      </c>
      <c r="C11" s="3" t="s">
        <v>98</v>
      </c>
      <c r="D11" s="3" t="s">
        <v>109</v>
      </c>
      <c r="E11" s="4" t="s">
        <v>134</v>
      </c>
      <c r="F11" s="26">
        <f t="shared" si="0"/>
        <v>8</v>
      </c>
      <c r="G11" s="26">
        <f t="shared" si="1"/>
        <v>6</v>
      </c>
      <c r="H11" s="25">
        <f t="shared" si="2"/>
        <v>2</v>
      </c>
      <c r="I11" s="13" t="str">
        <f t="shared" si="3"/>
        <v>FIFH Malmo</v>
      </c>
      <c r="J11" s="2" t="str" cm="1">
        <f t="array" ref="J11">TRIM(RIGHT(E11,LEN(E11)-LOOKUP(2,1/(MID(E11,ROW($1:$60),1)=" "),ROW($1:$60))))</f>
        <v>8-6</v>
      </c>
      <c r="K11" s="2">
        <f t="shared" si="4"/>
        <v>8</v>
      </c>
      <c r="L11" s="2">
        <f t="shared" si="5"/>
        <v>6</v>
      </c>
      <c r="M11" s="26">
        <f t="shared" si="6"/>
        <v>1</v>
      </c>
      <c r="N11" s="3" t="s">
        <v>0</v>
      </c>
      <c r="O11" s="3" t="s">
        <v>9</v>
      </c>
      <c r="P11" s="3" t="s">
        <v>3</v>
      </c>
      <c r="Q11" s="10">
        <f>IF(OR(O11="",P11=""),"",SUMIFS('1. Points System'!$E$3:$E$24,'1. Points System'!$C$3:$C$24,O11,'1. Points System'!$D$3:$D$24,P11))</f>
        <v>3</v>
      </c>
      <c r="R11" s="6">
        <f t="shared" si="7"/>
        <v>3</v>
      </c>
      <c r="S11" s="20">
        <f t="shared" si="8"/>
        <v>1.5</v>
      </c>
      <c r="T11" s="21"/>
      <c r="U11" s="42">
        <f>MasterDataTbl[[#This Row],[2026 Total Points]]+(MasterDataTbl[[#This Row],[Goal Difference]]/1000)</f>
        <v>1.502</v>
      </c>
    </row>
    <row r="12" spans="1:21" x14ac:dyDescent="0.25">
      <c r="A12" s="40" t="s">
        <v>159</v>
      </c>
      <c r="B12" s="15" t="s">
        <v>160</v>
      </c>
      <c r="C12" s="3" t="s">
        <v>100</v>
      </c>
      <c r="D12" s="3" t="s">
        <v>109</v>
      </c>
      <c r="E12" s="4" t="s">
        <v>134</v>
      </c>
      <c r="F12" s="26">
        <f t="shared" si="0"/>
        <v>6</v>
      </c>
      <c r="G12" s="26">
        <f t="shared" si="1"/>
        <v>8</v>
      </c>
      <c r="H12" s="25">
        <f t="shared" si="2"/>
        <v>-2</v>
      </c>
      <c r="I12" s="13" t="str">
        <f t="shared" si="3"/>
        <v>FIFH Malmo</v>
      </c>
      <c r="J12" s="2" t="str" cm="1">
        <f t="array" ref="J12">TRIM(RIGHT(E12,LEN(E12)-LOOKUP(2,1/(MID(E12,ROW($1:$60),1)=" "),ROW($1:$60))))</f>
        <v>8-6</v>
      </c>
      <c r="K12" s="2">
        <f t="shared" si="4"/>
        <v>8</v>
      </c>
      <c r="L12" s="2">
        <f t="shared" si="5"/>
        <v>6</v>
      </c>
      <c r="M12" s="26">
        <f t="shared" si="6"/>
        <v>1</v>
      </c>
      <c r="N12" s="3" t="s">
        <v>0</v>
      </c>
      <c r="O12" s="3" t="s">
        <v>9</v>
      </c>
      <c r="P12" s="3" t="s">
        <v>4</v>
      </c>
      <c r="Q12" s="10">
        <f>IF(OR(O12="",P12=""),"",SUMIFS('1. Points System'!$E$3:$E$24,'1. Points System'!$C$3:$C$24,O12,'1. Points System'!$D$3:$D$24,P12))</f>
        <v>0</v>
      </c>
      <c r="R12" s="6">
        <f t="shared" si="7"/>
        <v>0</v>
      </c>
      <c r="S12" s="20">
        <f t="shared" si="8"/>
        <v>0</v>
      </c>
      <c r="T12" s="21"/>
      <c r="U12" s="42">
        <f>MasterDataTbl[[#This Row],[2026 Total Points]]+(MasterDataTbl[[#This Row],[Goal Difference]]/1000)</f>
        <v>-2E-3</v>
      </c>
    </row>
    <row r="13" spans="1:21" x14ac:dyDescent="0.25">
      <c r="A13" s="40" t="s">
        <v>159</v>
      </c>
      <c r="B13" s="15" t="s">
        <v>160</v>
      </c>
      <c r="C13" s="3" t="s">
        <v>23</v>
      </c>
      <c r="D13" s="3" t="s">
        <v>110</v>
      </c>
      <c r="E13" s="4" t="s">
        <v>135</v>
      </c>
      <c r="F13" s="26">
        <f t="shared" si="0"/>
        <v>2</v>
      </c>
      <c r="G13" s="26">
        <f t="shared" si="1"/>
        <v>3</v>
      </c>
      <c r="H13" s="25">
        <f t="shared" si="2"/>
        <v>-1</v>
      </c>
      <c r="I13" s="13" t="str">
        <f t="shared" si="3"/>
        <v>Old Power</v>
      </c>
      <c r="J13" s="2" t="str" cm="1">
        <f t="array" ref="J13">TRIM(RIGHT(E13,LEN(E13)-LOOKUP(2,1/(MID(E13,ROW($1:$60),1)=" "),ROW($1:$60))))</f>
        <v>2-3</v>
      </c>
      <c r="K13" s="2">
        <f t="shared" si="4"/>
        <v>2</v>
      </c>
      <c r="L13" s="2">
        <f t="shared" si="5"/>
        <v>3</v>
      </c>
      <c r="M13" s="26">
        <f t="shared" si="6"/>
        <v>1</v>
      </c>
      <c r="N13" s="3" t="s">
        <v>0</v>
      </c>
      <c r="O13" s="3" t="s">
        <v>9</v>
      </c>
      <c r="P13" s="3" t="s">
        <v>4</v>
      </c>
      <c r="Q13" s="10">
        <f>IF(OR(O13="",P13=""),"",SUMIFS('1. Points System'!$E$3:$E$24,'1. Points System'!$C$3:$C$24,O13,'1. Points System'!$D$3:$D$24,P13))</f>
        <v>0</v>
      </c>
      <c r="R13" s="6">
        <f t="shared" si="7"/>
        <v>0</v>
      </c>
      <c r="S13" s="20">
        <f t="shared" si="8"/>
        <v>0</v>
      </c>
      <c r="T13" s="21"/>
      <c r="U13" s="42">
        <f>MasterDataTbl[[#This Row],[2026 Total Points]]+(MasterDataTbl[[#This Row],[Goal Difference]]/1000)</f>
        <v>-1E-3</v>
      </c>
    </row>
    <row r="14" spans="1:21" x14ac:dyDescent="0.25">
      <c r="A14" s="40" t="s">
        <v>159</v>
      </c>
      <c r="B14" s="15" t="s">
        <v>160</v>
      </c>
      <c r="C14" s="3" t="s">
        <v>50</v>
      </c>
      <c r="D14" s="3" t="s">
        <v>110</v>
      </c>
      <c r="E14" s="4" t="s">
        <v>135</v>
      </c>
      <c r="F14" s="26">
        <f t="shared" si="0"/>
        <v>3</v>
      </c>
      <c r="G14" s="26">
        <f t="shared" si="1"/>
        <v>2</v>
      </c>
      <c r="H14" s="25">
        <f t="shared" si="2"/>
        <v>1</v>
      </c>
      <c r="I14" s="13" t="str">
        <f t="shared" si="3"/>
        <v>Old Power</v>
      </c>
      <c r="J14" s="2" t="str" cm="1">
        <f t="array" ref="J14">TRIM(RIGHT(E14,LEN(E14)-LOOKUP(2,1/(MID(E14,ROW($1:$60),1)=" "),ROW($1:$60))))</f>
        <v>2-3</v>
      </c>
      <c r="K14" s="2">
        <f t="shared" si="4"/>
        <v>2</v>
      </c>
      <c r="L14" s="2">
        <f t="shared" si="5"/>
        <v>3</v>
      </c>
      <c r="M14" s="26">
        <f t="shared" si="6"/>
        <v>1</v>
      </c>
      <c r="N14" s="3" t="s">
        <v>0</v>
      </c>
      <c r="O14" s="3" t="s">
        <v>9</v>
      </c>
      <c r="P14" s="3" t="s">
        <v>3</v>
      </c>
      <c r="Q14" s="10">
        <f>IF(OR(O14="",P14=""),"",SUMIFS('1. Points System'!$E$3:$E$24,'1. Points System'!$C$3:$C$24,O14,'1. Points System'!$D$3:$D$24,P14))</f>
        <v>3</v>
      </c>
      <c r="R14" s="6">
        <f t="shared" si="7"/>
        <v>3</v>
      </c>
      <c r="S14" s="20">
        <f t="shared" si="8"/>
        <v>1.5</v>
      </c>
      <c r="T14" s="21"/>
      <c r="U14" s="42">
        <f>MasterDataTbl[[#This Row],[2026 Total Points]]+(MasterDataTbl[[#This Row],[Goal Difference]]/1000)</f>
        <v>1.5009999999999999</v>
      </c>
    </row>
    <row r="15" spans="1:21" x14ac:dyDescent="0.25">
      <c r="A15" s="40" t="s">
        <v>159</v>
      </c>
      <c r="B15" s="15" t="s">
        <v>160</v>
      </c>
      <c r="C15" s="3" t="s">
        <v>97</v>
      </c>
      <c r="D15" s="4" t="s">
        <v>111</v>
      </c>
      <c r="E15" s="4" t="s">
        <v>138</v>
      </c>
      <c r="F15" s="25">
        <f t="shared" si="0"/>
        <v>12</v>
      </c>
      <c r="G15" s="25">
        <f t="shared" si="1"/>
        <v>2</v>
      </c>
      <c r="H15" s="25">
        <f t="shared" si="2"/>
        <v>10</v>
      </c>
      <c r="I15" s="13" t="str">
        <f t="shared" si="3"/>
        <v>Kahramanmaras</v>
      </c>
      <c r="J15" s="2" t="str" cm="1">
        <f t="array" ref="J15">TRIM(RIGHT(E15,LEN(E15)-LOOKUP(2,1/(MID(E15,ROW($1:$60),1)=" "),ROW($1:$60))))</f>
        <v>12-2</v>
      </c>
      <c r="K15" s="2">
        <f t="shared" si="4"/>
        <v>12</v>
      </c>
      <c r="L15" s="2">
        <f t="shared" si="5"/>
        <v>2</v>
      </c>
      <c r="M15" s="25">
        <f t="shared" si="6"/>
        <v>1</v>
      </c>
      <c r="N15" s="3" t="s">
        <v>0</v>
      </c>
      <c r="O15" s="3" t="s">
        <v>9</v>
      </c>
      <c r="P15" s="3" t="s">
        <v>3</v>
      </c>
      <c r="Q15" s="10">
        <f>IF(OR(O15="",P15=""),"",SUMIFS('1. Points System'!$E$3:$E$24,'1. Points System'!$C$3:$C$24,O15,'1. Points System'!$D$3:$D$24,P15))</f>
        <v>3</v>
      </c>
      <c r="R15" s="6">
        <f t="shared" si="7"/>
        <v>3</v>
      </c>
      <c r="S15" s="20">
        <f t="shared" si="8"/>
        <v>1.5</v>
      </c>
      <c r="T15" s="21"/>
      <c r="U15" s="42">
        <f>MasterDataTbl[[#This Row],[2026 Total Points]]+(MasterDataTbl[[#This Row],[Goal Difference]]/1000)</f>
        <v>1.51</v>
      </c>
    </row>
    <row r="16" spans="1:21" x14ac:dyDescent="0.25">
      <c r="A16" s="40" t="s">
        <v>159</v>
      </c>
      <c r="B16" s="15" t="s">
        <v>160</v>
      </c>
      <c r="C16" s="3" t="s">
        <v>19</v>
      </c>
      <c r="D16" s="3" t="s">
        <v>111</v>
      </c>
      <c r="E16" s="4" t="s">
        <v>138</v>
      </c>
      <c r="F16" s="26">
        <f t="shared" si="0"/>
        <v>2</v>
      </c>
      <c r="G16" s="26">
        <f t="shared" si="1"/>
        <v>12</v>
      </c>
      <c r="H16" s="25">
        <f t="shared" si="2"/>
        <v>-10</v>
      </c>
      <c r="I16" s="13" t="str">
        <f t="shared" si="3"/>
        <v>Kahramanmaras</v>
      </c>
      <c r="J16" s="2" t="str" cm="1">
        <f t="array" ref="J16">TRIM(RIGHT(E16,LEN(E16)-LOOKUP(2,1/(MID(E16,ROW($1:$60),1)=" "),ROW($1:$60))))</f>
        <v>12-2</v>
      </c>
      <c r="K16" s="2">
        <f t="shared" si="4"/>
        <v>12</v>
      </c>
      <c r="L16" s="2">
        <f t="shared" si="5"/>
        <v>2</v>
      </c>
      <c r="M16" s="26">
        <f t="shared" si="6"/>
        <v>1</v>
      </c>
      <c r="N16" s="3" t="s">
        <v>0</v>
      </c>
      <c r="O16" s="3" t="s">
        <v>9</v>
      </c>
      <c r="P16" s="3" t="s">
        <v>4</v>
      </c>
      <c r="Q16" s="10">
        <f>IF(OR(O16="",P16=""),"",SUMIFS('1. Points System'!$E$3:$E$24,'1. Points System'!$C$3:$C$24,O16,'1. Points System'!$D$3:$D$24,P16))</f>
        <v>0</v>
      </c>
      <c r="R16" s="6">
        <f t="shared" si="7"/>
        <v>0</v>
      </c>
      <c r="S16" s="20">
        <f t="shared" si="8"/>
        <v>0</v>
      </c>
      <c r="T16" s="21"/>
      <c r="U16" s="42">
        <f>MasterDataTbl[[#This Row],[2026 Total Points]]+(MasterDataTbl[[#This Row],[Goal Difference]]/1000)</f>
        <v>-0.01</v>
      </c>
    </row>
    <row r="17" spans="1:21" x14ac:dyDescent="0.25">
      <c r="A17" s="40" t="s">
        <v>159</v>
      </c>
      <c r="B17" s="15" t="s">
        <v>160</v>
      </c>
      <c r="C17" s="3" t="s">
        <v>54</v>
      </c>
      <c r="D17" s="3" t="s">
        <v>112</v>
      </c>
      <c r="E17" s="4" t="s">
        <v>136</v>
      </c>
      <c r="F17" s="26">
        <f t="shared" si="0"/>
        <v>4</v>
      </c>
      <c r="G17" s="26">
        <f t="shared" si="1"/>
        <v>11</v>
      </c>
      <c r="H17" s="25">
        <f t="shared" si="2"/>
        <v>-7</v>
      </c>
      <c r="I17" s="13" t="str">
        <f t="shared" si="3"/>
        <v>Näpäjä</v>
      </c>
      <c r="J17" s="2" t="str" cm="1">
        <f t="array" ref="J17">TRIM(RIGHT(E17,LEN(E17)-LOOKUP(2,1/(MID(E17,ROW($1:$60),1)=" "),ROW($1:$60))))</f>
        <v>4-11</v>
      </c>
      <c r="K17" s="2">
        <f t="shared" si="4"/>
        <v>4</v>
      </c>
      <c r="L17" s="2">
        <f t="shared" si="5"/>
        <v>11</v>
      </c>
      <c r="M17" s="26">
        <f t="shared" si="6"/>
        <v>1</v>
      </c>
      <c r="N17" s="3" t="s">
        <v>0</v>
      </c>
      <c r="O17" s="3" t="s">
        <v>9</v>
      </c>
      <c r="P17" s="3" t="s">
        <v>4</v>
      </c>
      <c r="Q17" s="10">
        <f>IF(OR(O17="",P17=""),"",SUMIFS('1. Points System'!$E$3:$E$24,'1. Points System'!$C$3:$C$24,O17,'1. Points System'!$D$3:$D$24,P17))</f>
        <v>0</v>
      </c>
      <c r="R17" s="6">
        <f t="shared" si="7"/>
        <v>0</v>
      </c>
      <c r="S17" s="20">
        <f t="shared" si="8"/>
        <v>0</v>
      </c>
      <c r="T17" s="21"/>
      <c r="U17" s="42">
        <f>MasterDataTbl[[#This Row],[2026 Total Points]]+(MasterDataTbl[[#This Row],[Goal Difference]]/1000)</f>
        <v>-7.0000000000000001E-3</v>
      </c>
    </row>
    <row r="18" spans="1:21" x14ac:dyDescent="0.25">
      <c r="A18" s="40" t="s">
        <v>159</v>
      </c>
      <c r="B18" s="15" t="s">
        <v>160</v>
      </c>
      <c r="C18" s="3" t="s">
        <v>53</v>
      </c>
      <c r="D18" s="3" t="s">
        <v>112</v>
      </c>
      <c r="E18" s="4" t="s">
        <v>136</v>
      </c>
      <c r="F18" s="26">
        <f t="shared" si="0"/>
        <v>11</v>
      </c>
      <c r="G18" s="26">
        <f t="shared" si="1"/>
        <v>4</v>
      </c>
      <c r="H18" s="25">
        <f t="shared" si="2"/>
        <v>7</v>
      </c>
      <c r="I18" s="13" t="str">
        <f t="shared" si="3"/>
        <v>Näpäjä</v>
      </c>
      <c r="J18" s="2" t="str" cm="1">
        <f t="array" ref="J18">TRIM(RIGHT(E18,LEN(E18)-LOOKUP(2,1/(MID(E18,ROW($1:$60),1)=" "),ROW($1:$60))))</f>
        <v>4-11</v>
      </c>
      <c r="K18" s="2">
        <f t="shared" si="4"/>
        <v>4</v>
      </c>
      <c r="L18" s="2">
        <f t="shared" si="5"/>
        <v>11</v>
      </c>
      <c r="M18" s="26">
        <f t="shared" si="6"/>
        <v>1</v>
      </c>
      <c r="N18" s="3" t="s">
        <v>0</v>
      </c>
      <c r="O18" s="3" t="s">
        <v>9</v>
      </c>
      <c r="P18" s="3" t="s">
        <v>3</v>
      </c>
      <c r="Q18" s="10">
        <f>IF(OR(O18="",P18=""),"",SUMIFS('1. Points System'!$E$3:$E$24,'1. Points System'!$C$3:$C$24,O18,'1. Points System'!$D$3:$D$24,P18))</f>
        <v>3</v>
      </c>
      <c r="R18" s="6">
        <f t="shared" si="7"/>
        <v>3</v>
      </c>
      <c r="S18" s="20">
        <f t="shared" si="8"/>
        <v>1.5</v>
      </c>
      <c r="T18" s="21"/>
      <c r="U18" s="42">
        <f>MasterDataTbl[[#This Row],[2026 Total Points]]+(MasterDataTbl[[#This Row],[Goal Difference]]/1000)</f>
        <v>1.5069999999999999</v>
      </c>
    </row>
    <row r="19" spans="1:21" x14ac:dyDescent="0.25">
      <c r="A19" s="40" t="s">
        <v>159</v>
      </c>
      <c r="B19" s="15" t="s">
        <v>160</v>
      </c>
      <c r="C19" s="3" t="s">
        <v>99</v>
      </c>
      <c r="D19" s="3" t="s">
        <v>113</v>
      </c>
      <c r="E19" s="4" t="s">
        <v>137</v>
      </c>
      <c r="F19" s="26">
        <f t="shared" si="0"/>
        <v>4</v>
      </c>
      <c r="G19" s="26">
        <f t="shared" si="1"/>
        <v>5</v>
      </c>
      <c r="H19" s="25">
        <f t="shared" si="2"/>
        <v>-1</v>
      </c>
      <c r="I19" s="13" t="str">
        <f t="shared" si="3"/>
        <v>GC Golden Flash</v>
      </c>
      <c r="J19" s="2" t="str" cm="1">
        <f t="array" ref="J19">TRIM(RIGHT(E19,LEN(E19)-LOOKUP(2,1/(MID(E19,ROW($1:$60),1)=" "),ROW($1:$60))))</f>
        <v>4-5</v>
      </c>
      <c r="K19" s="2">
        <f t="shared" si="4"/>
        <v>4</v>
      </c>
      <c r="L19" s="2">
        <f t="shared" si="5"/>
        <v>5</v>
      </c>
      <c r="M19" s="26">
        <f t="shared" si="6"/>
        <v>1</v>
      </c>
      <c r="N19" s="3" t="s">
        <v>0</v>
      </c>
      <c r="O19" s="3" t="s">
        <v>9</v>
      </c>
      <c r="P19" s="3" t="s">
        <v>4</v>
      </c>
      <c r="Q19" s="10">
        <f>IF(OR(O19="",P19=""),"",SUMIFS('1. Points System'!$E$3:$E$24,'1. Points System'!$C$3:$C$24,O19,'1. Points System'!$D$3:$D$24,P19))</f>
        <v>0</v>
      </c>
      <c r="R19" s="6">
        <f t="shared" si="7"/>
        <v>0</v>
      </c>
      <c r="S19" s="20">
        <f t="shared" si="8"/>
        <v>0</v>
      </c>
      <c r="T19" s="21"/>
      <c r="U19" s="42">
        <f>MasterDataTbl[[#This Row],[2026 Total Points]]+(MasterDataTbl[[#This Row],[Goal Difference]]/1000)</f>
        <v>-1E-3</v>
      </c>
    </row>
    <row r="20" spans="1:21" x14ac:dyDescent="0.25">
      <c r="A20" s="40" t="s">
        <v>159</v>
      </c>
      <c r="B20" s="15" t="s">
        <v>160</v>
      </c>
      <c r="C20" s="3" t="s">
        <v>98</v>
      </c>
      <c r="D20" s="3" t="s">
        <v>113</v>
      </c>
      <c r="E20" s="4" t="s">
        <v>137</v>
      </c>
      <c r="F20" s="26">
        <f t="shared" si="0"/>
        <v>5</v>
      </c>
      <c r="G20" s="26">
        <f t="shared" si="1"/>
        <v>4</v>
      </c>
      <c r="H20" s="25">
        <f t="shared" si="2"/>
        <v>1</v>
      </c>
      <c r="I20" s="13" t="str">
        <f t="shared" ref="I20:I24" si="9">TRIM(LEFT(E20,FIND(" – ",E20)-1))</f>
        <v>GC Golden Flash</v>
      </c>
      <c r="J20" s="2" t="str" cm="1">
        <f t="array" ref="J20">TRIM(RIGHT(E20,LEN(E20)-LOOKUP(2,1/(MID(E20,ROW($1:$60),1)=" "),ROW($1:$60))))</f>
        <v>4-5</v>
      </c>
      <c r="K20" s="2">
        <f t="shared" si="4"/>
        <v>4</v>
      </c>
      <c r="L20" s="2">
        <f t="shared" si="5"/>
        <v>5</v>
      </c>
      <c r="M20" s="26">
        <f t="shared" si="6"/>
        <v>1</v>
      </c>
      <c r="N20" s="3" t="s">
        <v>0</v>
      </c>
      <c r="O20" s="3" t="s">
        <v>9</v>
      </c>
      <c r="P20" s="3" t="s">
        <v>3</v>
      </c>
      <c r="Q20" s="10">
        <f>IF(OR(O20="",P20=""),"",SUMIFS('1. Points System'!$E$3:$E$24,'1. Points System'!$C$3:$C$24,O20,'1. Points System'!$D$3:$D$24,P20))</f>
        <v>3</v>
      </c>
      <c r="R20" s="6">
        <f t="shared" si="7"/>
        <v>3</v>
      </c>
      <c r="S20" s="20">
        <f t="shared" si="8"/>
        <v>1.5</v>
      </c>
      <c r="T20" s="21"/>
      <c r="U20" s="42">
        <f>MasterDataTbl[[#This Row],[2026 Total Points]]+(MasterDataTbl[[#This Row],[Goal Difference]]/1000)</f>
        <v>1.5009999999999999</v>
      </c>
    </row>
    <row r="21" spans="1:21" x14ac:dyDescent="0.25">
      <c r="A21" s="40" t="s">
        <v>159</v>
      </c>
      <c r="B21" s="15" t="s">
        <v>160</v>
      </c>
      <c r="C21" s="3" t="s">
        <v>46</v>
      </c>
      <c r="D21" s="3" t="s">
        <v>114</v>
      </c>
      <c r="E21" s="4" t="s">
        <v>149</v>
      </c>
      <c r="F21" s="26">
        <f t="shared" si="0"/>
        <v>0</v>
      </c>
      <c r="G21" s="26">
        <f t="shared" si="1"/>
        <v>8</v>
      </c>
      <c r="H21" s="25">
        <f t="shared" si="2"/>
        <v>-8</v>
      </c>
      <c r="I21" s="13" t="str">
        <f t="shared" si="9"/>
        <v>Kleio Thessaloniki</v>
      </c>
      <c r="J21" s="2" t="str" cm="1">
        <f t="array" ref="J21">TRIM(RIGHT(E21,LEN(E21)-LOOKUP(2,1/(MID(E21,ROW($1:$60),1)=" "),ROW($1:$60))))</f>
        <v>0-8</v>
      </c>
      <c r="K21" s="2">
        <f t="shared" si="4"/>
        <v>0</v>
      </c>
      <c r="L21" s="2">
        <f t="shared" si="5"/>
        <v>8</v>
      </c>
      <c r="M21" s="26">
        <f t="shared" si="6"/>
        <v>1</v>
      </c>
      <c r="N21" s="3" t="s">
        <v>0</v>
      </c>
      <c r="O21" s="3" t="s">
        <v>9</v>
      </c>
      <c r="P21" s="3" t="s">
        <v>4</v>
      </c>
      <c r="Q21" s="10">
        <f>IF(OR(O21="",P21=""),"",SUMIFS('1. Points System'!$E$3:$E$24,'1. Points System'!$C$3:$C$24,O21,'1. Points System'!$D$3:$D$24,P21))</f>
        <v>0</v>
      </c>
      <c r="R21" s="6">
        <f t="shared" si="7"/>
        <v>0</v>
      </c>
      <c r="S21" s="20">
        <f t="shared" si="8"/>
        <v>0</v>
      </c>
      <c r="T21" s="21"/>
      <c r="U21" s="42">
        <f>MasterDataTbl[[#This Row],[2026 Total Points]]+(MasterDataTbl[[#This Row],[Goal Difference]]/1000)</f>
        <v>-8.0000000000000002E-3</v>
      </c>
    </row>
    <row r="22" spans="1:21" x14ac:dyDescent="0.25">
      <c r="A22" s="40" t="s">
        <v>159</v>
      </c>
      <c r="B22" s="15" t="s">
        <v>160</v>
      </c>
      <c r="C22" s="3" t="s">
        <v>97</v>
      </c>
      <c r="D22" s="3" t="s">
        <v>114</v>
      </c>
      <c r="E22" s="4" t="s">
        <v>149</v>
      </c>
      <c r="F22" s="26">
        <f t="shared" si="0"/>
        <v>8</v>
      </c>
      <c r="G22" s="26">
        <f t="shared" si="1"/>
        <v>0</v>
      </c>
      <c r="H22" s="25">
        <f t="shared" si="2"/>
        <v>8</v>
      </c>
      <c r="I22" s="13" t="str">
        <f t="shared" si="9"/>
        <v>Kleio Thessaloniki</v>
      </c>
      <c r="J22" s="2" t="str" cm="1">
        <f t="array" ref="J22">TRIM(RIGHT(E22,LEN(E22)-LOOKUP(2,1/(MID(E22,ROW($1:$60),1)=" "),ROW($1:$60))))</f>
        <v>0-8</v>
      </c>
      <c r="K22" s="2">
        <f t="shared" si="4"/>
        <v>0</v>
      </c>
      <c r="L22" s="2">
        <f t="shared" si="5"/>
        <v>8</v>
      </c>
      <c r="M22" s="26">
        <f t="shared" si="6"/>
        <v>1</v>
      </c>
      <c r="N22" s="3" t="s">
        <v>0</v>
      </c>
      <c r="O22" s="3" t="s">
        <v>9</v>
      </c>
      <c r="P22" s="3" t="s">
        <v>3</v>
      </c>
      <c r="Q22" s="10">
        <f>IF(OR(O22="",P22=""),"",SUMIFS('1. Points System'!$E$3:$E$24,'1. Points System'!$C$3:$C$24,O22,'1. Points System'!$D$3:$D$24,P22))</f>
        <v>3</v>
      </c>
      <c r="R22" s="6">
        <f t="shared" si="7"/>
        <v>3</v>
      </c>
      <c r="S22" s="20">
        <f t="shared" si="8"/>
        <v>1.5</v>
      </c>
      <c r="T22" s="21"/>
      <c r="U22" s="42">
        <f>MasterDataTbl[[#This Row],[2026 Total Points]]+(MasterDataTbl[[#This Row],[Goal Difference]]/1000)</f>
        <v>1.508</v>
      </c>
    </row>
    <row r="23" spans="1:21" x14ac:dyDescent="0.25">
      <c r="A23" s="40" t="s">
        <v>159</v>
      </c>
      <c r="B23" s="15" t="s">
        <v>160</v>
      </c>
      <c r="C23" s="3" t="s">
        <v>50</v>
      </c>
      <c r="D23" s="3" t="s">
        <v>115</v>
      </c>
      <c r="E23" s="4" t="s">
        <v>139</v>
      </c>
      <c r="F23" s="26">
        <f t="shared" si="0"/>
        <v>5</v>
      </c>
      <c r="G23" s="26">
        <f t="shared" si="1"/>
        <v>5</v>
      </c>
      <c r="H23" s="25">
        <f t="shared" si="2"/>
        <v>0</v>
      </c>
      <c r="I23" s="13" t="str">
        <f t="shared" si="9"/>
        <v>RGC Hansa</v>
      </c>
      <c r="J23" s="2" t="str" cm="1">
        <f t="array" ref="J23">TRIM(RIGHT(E23,LEN(E23)-LOOKUP(2,1/(MID(E23,ROW($1:$60),1)=" "),ROW($1:$60))))</f>
        <v>5-5</v>
      </c>
      <c r="K23" s="2">
        <f t="shared" si="4"/>
        <v>5</v>
      </c>
      <c r="L23" s="2">
        <f t="shared" si="5"/>
        <v>5</v>
      </c>
      <c r="M23" s="26">
        <f t="shared" si="6"/>
        <v>1</v>
      </c>
      <c r="N23" s="3" t="s">
        <v>0</v>
      </c>
      <c r="O23" s="3" t="s">
        <v>9</v>
      </c>
      <c r="P23" s="3" t="s">
        <v>5</v>
      </c>
      <c r="Q23" s="10">
        <f>IF(OR(O23="",P23=""),"",SUMIFS('1. Points System'!$E$3:$E$24,'1. Points System'!$C$3:$C$24,O23,'1. Points System'!$D$3:$D$24,P23))</f>
        <v>1</v>
      </c>
      <c r="R23" s="6">
        <f t="shared" si="7"/>
        <v>1</v>
      </c>
      <c r="S23" s="20">
        <f t="shared" si="8"/>
        <v>0.5</v>
      </c>
      <c r="T23" s="21"/>
      <c r="U23" s="42">
        <f>MasterDataTbl[[#This Row],[2026 Total Points]]+(MasterDataTbl[[#This Row],[Goal Difference]]/1000)</f>
        <v>0.5</v>
      </c>
    </row>
    <row r="24" spans="1:21" x14ac:dyDescent="0.25">
      <c r="A24" s="40" t="s">
        <v>159</v>
      </c>
      <c r="B24" s="15" t="s">
        <v>160</v>
      </c>
      <c r="C24" s="3" t="s">
        <v>100</v>
      </c>
      <c r="D24" s="3" t="s">
        <v>115</v>
      </c>
      <c r="E24" s="4" t="s">
        <v>139</v>
      </c>
      <c r="F24" s="26">
        <f t="shared" si="0"/>
        <v>5</v>
      </c>
      <c r="G24" s="26">
        <f t="shared" si="1"/>
        <v>5</v>
      </c>
      <c r="H24" s="25">
        <f t="shared" si="2"/>
        <v>0</v>
      </c>
      <c r="I24" s="13" t="str">
        <f t="shared" si="9"/>
        <v>RGC Hansa</v>
      </c>
      <c r="J24" s="2" t="str" cm="1">
        <f t="array" ref="J24">TRIM(RIGHT(E24,LEN(E24)-LOOKUP(2,1/(MID(E24,ROW($1:$60),1)=" "),ROW($1:$60))))</f>
        <v>5-5</v>
      </c>
      <c r="K24" s="2">
        <f t="shared" si="4"/>
        <v>5</v>
      </c>
      <c r="L24" s="2">
        <f t="shared" si="5"/>
        <v>5</v>
      </c>
      <c r="M24" s="26">
        <f t="shared" si="6"/>
        <v>1</v>
      </c>
      <c r="N24" s="3" t="s">
        <v>0</v>
      </c>
      <c r="O24" s="3" t="s">
        <v>9</v>
      </c>
      <c r="P24" s="3" t="s">
        <v>5</v>
      </c>
      <c r="Q24" s="10">
        <f>IF(OR(O24="",P24=""),"",SUMIFS('1. Points System'!$E$3:$E$24,'1. Points System'!$C$3:$C$24,O24,'1. Points System'!$D$3:$D$24,P24))</f>
        <v>1</v>
      </c>
      <c r="R24" s="6">
        <f t="shared" si="7"/>
        <v>1</v>
      </c>
      <c r="S24" s="20">
        <f t="shared" si="8"/>
        <v>0.5</v>
      </c>
      <c r="T24" s="21"/>
      <c r="U24" s="42">
        <f>MasterDataTbl[[#This Row],[2026 Total Points]]+(MasterDataTbl[[#This Row],[Goal Difference]]/1000)</f>
        <v>0.5</v>
      </c>
    </row>
    <row r="25" spans="1:21" x14ac:dyDescent="0.25">
      <c r="A25" s="40" t="s">
        <v>159</v>
      </c>
      <c r="B25" s="15" t="s">
        <v>160</v>
      </c>
      <c r="C25" s="3" t="s">
        <v>23</v>
      </c>
      <c r="D25" s="3" t="s">
        <v>116</v>
      </c>
      <c r="E25" s="4" t="s">
        <v>140</v>
      </c>
      <c r="F25" s="26">
        <f t="shared" si="0"/>
        <v>3</v>
      </c>
      <c r="G25" s="26">
        <f t="shared" si="1"/>
        <v>4</v>
      </c>
      <c r="H25" s="25">
        <f t="shared" si="2"/>
        <v>-1</v>
      </c>
      <c r="I25" s="13" t="str">
        <f t="shared" ref="I25:I88" si="10">TRIM(LEFT(E25,FIND(" – ",E25)-1))</f>
        <v>Old Power</v>
      </c>
      <c r="J25" s="2" t="str" cm="1">
        <f t="array" ref="J25">TRIM(RIGHT(E25,LEN(E25)-LOOKUP(2,1/(MID(E25,ROW($1:$60),1)=" "),ROW($1:$60))))</f>
        <v>3-4</v>
      </c>
      <c r="K25" s="2">
        <f t="shared" si="4"/>
        <v>3</v>
      </c>
      <c r="L25" s="2">
        <f t="shared" si="5"/>
        <v>4</v>
      </c>
      <c r="M25" s="26">
        <f t="shared" si="6"/>
        <v>1</v>
      </c>
      <c r="N25" s="3" t="s">
        <v>0</v>
      </c>
      <c r="O25" s="3" t="s">
        <v>9</v>
      </c>
      <c r="P25" s="3" t="s">
        <v>4</v>
      </c>
      <c r="Q25" s="10">
        <f>IF(OR(O25="",P25=""),"",SUMIFS('1. Points System'!$E$3:$E$24,'1. Points System'!$C$3:$C$24,O25,'1. Points System'!$D$3:$D$24,P25))</f>
        <v>0</v>
      </c>
      <c r="R25" s="6">
        <f t="shared" si="7"/>
        <v>0</v>
      </c>
      <c r="S25" s="20">
        <f t="shared" si="8"/>
        <v>0</v>
      </c>
      <c r="T25" s="21"/>
      <c r="U25" s="42">
        <f>MasterDataTbl[[#This Row],[2026 Total Points]]+(MasterDataTbl[[#This Row],[Goal Difference]]/1000)</f>
        <v>-1E-3</v>
      </c>
    </row>
    <row r="26" spans="1:21" x14ac:dyDescent="0.25">
      <c r="A26" s="40" t="s">
        <v>159</v>
      </c>
      <c r="B26" s="15" t="s">
        <v>160</v>
      </c>
      <c r="C26" s="3" t="s">
        <v>98</v>
      </c>
      <c r="D26" s="3" t="s">
        <v>116</v>
      </c>
      <c r="E26" s="4" t="s">
        <v>140</v>
      </c>
      <c r="F26" s="26">
        <f t="shared" si="0"/>
        <v>4</v>
      </c>
      <c r="G26" s="26">
        <f t="shared" si="1"/>
        <v>3</v>
      </c>
      <c r="H26" s="25">
        <f t="shared" si="2"/>
        <v>1</v>
      </c>
      <c r="I26" s="13" t="str">
        <f t="shared" si="10"/>
        <v>Old Power</v>
      </c>
      <c r="J26" s="2" t="str" cm="1">
        <f t="array" ref="J26">TRIM(RIGHT(E26,LEN(E26)-LOOKUP(2,1/(MID(E26,ROW($1:$60),1)=" "),ROW($1:$60))))</f>
        <v>3-4</v>
      </c>
      <c r="K26" s="2">
        <f t="shared" si="4"/>
        <v>3</v>
      </c>
      <c r="L26" s="2">
        <f t="shared" si="5"/>
        <v>4</v>
      </c>
      <c r="M26" s="26">
        <f t="shared" si="6"/>
        <v>1</v>
      </c>
      <c r="N26" s="3" t="s">
        <v>0</v>
      </c>
      <c r="O26" s="3" t="s">
        <v>9</v>
      </c>
      <c r="P26" s="3" t="s">
        <v>3</v>
      </c>
      <c r="Q26" s="10">
        <f>IF(OR(O26="",P26=""),"",SUMIFS('1. Points System'!$E$3:$E$24,'1. Points System'!$C$3:$C$24,O26,'1. Points System'!$D$3:$D$24,P26))</f>
        <v>3</v>
      </c>
      <c r="R26" s="6">
        <f t="shared" si="7"/>
        <v>3</v>
      </c>
      <c r="S26" s="20">
        <f t="shared" si="8"/>
        <v>1.5</v>
      </c>
      <c r="T26" s="21"/>
      <c r="U26" s="42">
        <f>MasterDataTbl[[#This Row],[2026 Total Points]]+(MasterDataTbl[[#This Row],[Goal Difference]]/1000)</f>
        <v>1.5009999999999999</v>
      </c>
    </row>
    <row r="27" spans="1:21" x14ac:dyDescent="0.25">
      <c r="A27" s="40" t="s">
        <v>159</v>
      </c>
      <c r="B27" s="15" t="s">
        <v>160</v>
      </c>
      <c r="C27" s="3" t="s">
        <v>53</v>
      </c>
      <c r="D27" s="3" t="s">
        <v>117</v>
      </c>
      <c r="E27" s="4" t="s">
        <v>141</v>
      </c>
      <c r="F27" s="26">
        <f t="shared" si="0"/>
        <v>8</v>
      </c>
      <c r="G27" s="26">
        <f t="shared" si="1"/>
        <v>2</v>
      </c>
      <c r="H27" s="25">
        <f t="shared" si="2"/>
        <v>6</v>
      </c>
      <c r="I27" s="13" t="str">
        <f t="shared" si="10"/>
        <v>Füchse Berlin</v>
      </c>
      <c r="J27" s="2" t="str" cm="1">
        <f t="array" ref="J27">TRIM(RIGHT(E27,LEN(E27)-LOOKUP(2,1/(MID(E27,ROW($1:$60),1)=" "),ROW($1:$60))))</f>
        <v>8-2</v>
      </c>
      <c r="K27" s="2">
        <f t="shared" si="4"/>
        <v>8</v>
      </c>
      <c r="L27" s="2">
        <f t="shared" si="5"/>
        <v>2</v>
      </c>
      <c r="M27" s="26">
        <f t="shared" si="6"/>
        <v>1</v>
      </c>
      <c r="N27" s="3" t="s">
        <v>0</v>
      </c>
      <c r="O27" s="3" t="s">
        <v>9</v>
      </c>
      <c r="P27" s="3" t="s">
        <v>3</v>
      </c>
      <c r="Q27" s="10">
        <f>IF(OR(O27="",P27=""),"",SUMIFS('1. Points System'!$E$3:$E$24,'1. Points System'!$C$3:$C$24,O27,'1. Points System'!$D$3:$D$24,P27))</f>
        <v>3</v>
      </c>
      <c r="R27" s="6">
        <f t="shared" si="7"/>
        <v>3</v>
      </c>
      <c r="S27" s="20">
        <f t="shared" si="8"/>
        <v>1.5</v>
      </c>
      <c r="T27" s="21"/>
      <c r="U27" s="87">
        <f>MasterDataTbl[[#This Row],[2026 Total Points]]+(MasterDataTbl[[#This Row],[Goal Difference]]/1000)</f>
        <v>1.506</v>
      </c>
    </row>
    <row r="28" spans="1:21" x14ac:dyDescent="0.25">
      <c r="A28" s="40" t="s">
        <v>159</v>
      </c>
      <c r="B28" s="15" t="s">
        <v>160</v>
      </c>
      <c r="C28" s="3" t="s">
        <v>19</v>
      </c>
      <c r="D28" s="3" t="s">
        <v>117</v>
      </c>
      <c r="E28" s="4" t="s">
        <v>141</v>
      </c>
      <c r="F28" s="26">
        <f t="shared" si="0"/>
        <v>2</v>
      </c>
      <c r="G28" s="26">
        <f t="shared" si="1"/>
        <v>8</v>
      </c>
      <c r="H28" s="25">
        <f t="shared" si="2"/>
        <v>-6</v>
      </c>
      <c r="I28" s="13" t="str">
        <f t="shared" si="10"/>
        <v>Füchse Berlin</v>
      </c>
      <c r="J28" s="2" t="str" cm="1">
        <f t="array" ref="J28">TRIM(RIGHT(E28,LEN(E28)-LOOKUP(2,1/(MID(E28,ROW($1:$60),1)=" "),ROW($1:$60))))</f>
        <v>8-2</v>
      </c>
      <c r="K28" s="2">
        <f t="shared" si="4"/>
        <v>8</v>
      </c>
      <c r="L28" s="2">
        <f t="shared" si="5"/>
        <v>2</v>
      </c>
      <c r="M28" s="26">
        <f t="shared" si="6"/>
        <v>1</v>
      </c>
      <c r="N28" s="3" t="s">
        <v>0</v>
      </c>
      <c r="O28" s="3" t="s">
        <v>9</v>
      </c>
      <c r="P28" s="3" t="s">
        <v>4</v>
      </c>
      <c r="Q28" s="10">
        <f>IF(OR(O28="",P28=""),"",SUMIFS('1. Points System'!$E$3:$E$24,'1. Points System'!$C$3:$C$24,O28,'1. Points System'!$D$3:$D$24,P28))</f>
        <v>0</v>
      </c>
      <c r="R28" s="6">
        <f t="shared" si="7"/>
        <v>0</v>
      </c>
      <c r="S28" s="20">
        <f t="shared" si="8"/>
        <v>0</v>
      </c>
      <c r="T28" s="21"/>
      <c r="U28" s="87">
        <f>MasterDataTbl[[#This Row],[2026 Total Points]]+(MasterDataTbl[[#This Row],[Goal Difference]]/1000)</f>
        <v>-6.0000000000000001E-3</v>
      </c>
    </row>
    <row r="29" spans="1:21" x14ac:dyDescent="0.25">
      <c r="A29" s="40" t="s">
        <v>159</v>
      </c>
      <c r="B29" s="15" t="s">
        <v>160</v>
      </c>
      <c r="C29" s="3" t="s">
        <v>54</v>
      </c>
      <c r="D29" s="3" t="s">
        <v>118</v>
      </c>
      <c r="E29" s="4" t="s">
        <v>142</v>
      </c>
      <c r="F29" s="26">
        <f t="shared" si="0"/>
        <v>2</v>
      </c>
      <c r="G29" s="26">
        <f t="shared" si="1"/>
        <v>8</v>
      </c>
      <c r="H29" s="25">
        <f t="shared" si="2"/>
        <v>-6</v>
      </c>
      <c r="I29" s="13" t="str">
        <f t="shared" si="10"/>
        <v>Näpäjä</v>
      </c>
      <c r="J29" s="2" t="str" cm="1">
        <f t="array" ref="J29">TRIM(RIGHT(E29,LEN(E29)-LOOKUP(2,1/(MID(E29,ROW($1:$60),1)=" "),ROW($1:$60))))</f>
        <v>2-8</v>
      </c>
      <c r="K29" s="2">
        <f t="shared" si="4"/>
        <v>2</v>
      </c>
      <c r="L29" s="2">
        <f t="shared" si="5"/>
        <v>8</v>
      </c>
      <c r="M29" s="26">
        <f t="shared" si="6"/>
        <v>1</v>
      </c>
      <c r="N29" s="3" t="s">
        <v>0</v>
      </c>
      <c r="O29" s="3" t="s">
        <v>9</v>
      </c>
      <c r="P29" s="3" t="s">
        <v>4</v>
      </c>
      <c r="Q29" s="10">
        <f>IF(OR(O29="",P29=""),"",SUMIFS('1. Points System'!$E$3:$E$24,'1. Points System'!$C$3:$C$24,O29,'1. Points System'!$D$3:$D$24,P29))</f>
        <v>0</v>
      </c>
      <c r="R29" s="6">
        <f t="shared" si="7"/>
        <v>0</v>
      </c>
      <c r="S29" s="20">
        <f t="shared" si="8"/>
        <v>0</v>
      </c>
      <c r="T29" s="21"/>
      <c r="U29" s="87">
        <f>MasterDataTbl[[#This Row],[2026 Total Points]]+(MasterDataTbl[[#This Row],[Goal Difference]]/1000)</f>
        <v>-6.0000000000000001E-3</v>
      </c>
    </row>
    <row r="30" spans="1:21" x14ac:dyDescent="0.25">
      <c r="A30" s="40" t="s">
        <v>159</v>
      </c>
      <c r="B30" s="15" t="s">
        <v>160</v>
      </c>
      <c r="C30" s="3" t="s">
        <v>97</v>
      </c>
      <c r="D30" s="3" t="s">
        <v>118</v>
      </c>
      <c r="E30" s="4" t="s">
        <v>142</v>
      </c>
      <c r="F30" s="26">
        <f t="shared" si="0"/>
        <v>8</v>
      </c>
      <c r="G30" s="26">
        <f t="shared" si="1"/>
        <v>2</v>
      </c>
      <c r="H30" s="25">
        <f t="shared" si="2"/>
        <v>6</v>
      </c>
      <c r="I30" s="13" t="str">
        <f t="shared" si="10"/>
        <v>Näpäjä</v>
      </c>
      <c r="J30" s="2" t="str" cm="1">
        <f t="array" ref="J30">TRIM(RIGHT(E30,LEN(E30)-LOOKUP(2,1/(MID(E30,ROW($1:$60),1)=" "),ROW($1:$60))))</f>
        <v>2-8</v>
      </c>
      <c r="K30" s="2">
        <f t="shared" si="4"/>
        <v>2</v>
      </c>
      <c r="L30" s="2">
        <f t="shared" si="5"/>
        <v>8</v>
      </c>
      <c r="M30" s="26">
        <f t="shared" si="6"/>
        <v>1</v>
      </c>
      <c r="N30" s="3" t="s">
        <v>0</v>
      </c>
      <c r="O30" s="3" t="s">
        <v>9</v>
      </c>
      <c r="P30" s="3" t="s">
        <v>3</v>
      </c>
      <c r="Q30" s="10">
        <f>IF(OR(O30="",P30=""),"",SUMIFS('1. Points System'!$E$3:$E$24,'1. Points System'!$C$3:$C$24,O30,'1. Points System'!$D$3:$D$24,P30))</f>
        <v>3</v>
      </c>
      <c r="R30" s="6">
        <f t="shared" si="7"/>
        <v>3</v>
      </c>
      <c r="S30" s="20">
        <f t="shared" si="8"/>
        <v>1.5</v>
      </c>
      <c r="T30" s="21"/>
      <c r="U30" s="87">
        <f>MasterDataTbl[[#This Row],[2026 Total Points]]+(MasterDataTbl[[#This Row],[Goal Difference]]/1000)</f>
        <v>1.506</v>
      </c>
    </row>
    <row r="31" spans="1:21" x14ac:dyDescent="0.25">
      <c r="A31" s="40" t="s">
        <v>159</v>
      </c>
      <c r="B31" s="15" t="s">
        <v>160</v>
      </c>
      <c r="C31" s="3" t="s">
        <v>100</v>
      </c>
      <c r="D31" s="3" t="s">
        <v>119</v>
      </c>
      <c r="E31" s="4" t="s">
        <v>143</v>
      </c>
      <c r="F31" s="26">
        <f t="shared" si="0"/>
        <v>4</v>
      </c>
      <c r="G31" s="26">
        <f t="shared" si="1"/>
        <v>5</v>
      </c>
      <c r="H31" s="25">
        <f t="shared" si="2"/>
        <v>-1</v>
      </c>
      <c r="I31" s="13" t="str">
        <f t="shared" si="10"/>
        <v>USV Hercules</v>
      </c>
      <c r="J31" s="2" t="str" cm="1">
        <f t="array" ref="J31">TRIM(RIGHT(E31,LEN(E31)-LOOKUP(2,1/(MID(E31,ROW($1:$60),1)=" "),ROW($1:$60))))</f>
        <v>4-5</v>
      </c>
      <c r="K31" s="2">
        <f t="shared" si="4"/>
        <v>4</v>
      </c>
      <c r="L31" s="2">
        <f t="shared" si="5"/>
        <v>5</v>
      </c>
      <c r="M31" s="26">
        <f t="shared" si="6"/>
        <v>1</v>
      </c>
      <c r="N31" s="3" t="s">
        <v>0</v>
      </c>
      <c r="O31" s="3" t="s">
        <v>9</v>
      </c>
      <c r="P31" s="3" t="s">
        <v>4</v>
      </c>
      <c r="Q31" s="10">
        <f>IF(OR(O31="",P31=""),"",SUMIFS('1. Points System'!$E$3:$E$24,'1. Points System'!$C$3:$C$24,O31,'1. Points System'!$D$3:$D$24,P31))</f>
        <v>0</v>
      </c>
      <c r="R31" s="6">
        <f t="shared" si="7"/>
        <v>0</v>
      </c>
      <c r="S31" s="20">
        <f t="shared" si="8"/>
        <v>0</v>
      </c>
      <c r="T31" s="21"/>
      <c r="U31" s="87">
        <f>MasterDataTbl[[#This Row],[2026 Total Points]]+(MasterDataTbl[[#This Row],[Goal Difference]]/1000)</f>
        <v>-1E-3</v>
      </c>
    </row>
    <row r="32" spans="1:21" x14ac:dyDescent="0.25">
      <c r="A32" s="40" t="s">
        <v>159</v>
      </c>
      <c r="B32" s="15" t="s">
        <v>160</v>
      </c>
      <c r="C32" s="3" t="s">
        <v>99</v>
      </c>
      <c r="D32" s="3" t="s">
        <v>119</v>
      </c>
      <c r="E32" s="4" t="s">
        <v>143</v>
      </c>
      <c r="F32" s="26">
        <f t="shared" si="0"/>
        <v>5</v>
      </c>
      <c r="G32" s="26">
        <f t="shared" si="1"/>
        <v>4</v>
      </c>
      <c r="H32" s="25">
        <f t="shared" si="2"/>
        <v>1</v>
      </c>
      <c r="I32" s="13" t="str">
        <f t="shared" si="10"/>
        <v>USV Hercules</v>
      </c>
      <c r="J32" s="2" t="str" cm="1">
        <f t="array" ref="J32">TRIM(RIGHT(E32,LEN(E32)-LOOKUP(2,1/(MID(E32,ROW($1:$60),1)=" "),ROW($1:$60))))</f>
        <v>4-5</v>
      </c>
      <c r="K32" s="2">
        <f t="shared" si="4"/>
        <v>4</v>
      </c>
      <c r="L32" s="2">
        <f t="shared" si="5"/>
        <v>5</v>
      </c>
      <c r="M32" s="26">
        <f t="shared" si="6"/>
        <v>1</v>
      </c>
      <c r="N32" s="3" t="s">
        <v>0</v>
      </c>
      <c r="O32" s="3" t="s">
        <v>9</v>
      </c>
      <c r="P32" s="3" t="s">
        <v>3</v>
      </c>
      <c r="Q32" s="10">
        <f>IF(OR(O32="",P32=""),"",SUMIFS('1. Points System'!$E$3:$E$24,'1. Points System'!$C$3:$C$24,O32,'1. Points System'!$D$3:$D$24,P32))</f>
        <v>3</v>
      </c>
      <c r="R32" s="6">
        <f t="shared" si="7"/>
        <v>3</v>
      </c>
      <c r="S32" s="20">
        <f t="shared" si="8"/>
        <v>1.5</v>
      </c>
      <c r="T32" s="21"/>
      <c r="U32" s="87">
        <f>MasterDataTbl[[#This Row],[2026 Total Points]]+(MasterDataTbl[[#This Row],[Goal Difference]]/1000)</f>
        <v>1.5009999999999999</v>
      </c>
    </row>
    <row r="33" spans="1:21" x14ac:dyDescent="0.25">
      <c r="A33" s="40" t="s">
        <v>159</v>
      </c>
      <c r="B33" s="15" t="s">
        <v>160</v>
      </c>
      <c r="C33" s="3" t="s">
        <v>98</v>
      </c>
      <c r="D33" s="3" t="s">
        <v>120</v>
      </c>
      <c r="E33" s="4" t="s">
        <v>144</v>
      </c>
      <c r="F33" s="26">
        <f t="shared" si="0"/>
        <v>9</v>
      </c>
      <c r="G33" s="26">
        <f t="shared" si="1"/>
        <v>2</v>
      </c>
      <c r="H33" s="25">
        <f t="shared" si="2"/>
        <v>7</v>
      </c>
      <c r="I33" s="13" t="str">
        <f t="shared" si="10"/>
        <v>FIFH Malmo</v>
      </c>
      <c r="J33" s="2" t="str" cm="1">
        <f t="array" ref="J33">TRIM(RIGHT(E33,LEN(E33)-LOOKUP(2,1/(MID(E33,ROW($1:$60),1)=" "),ROW($1:$60))))</f>
        <v>9-2</v>
      </c>
      <c r="K33" s="2">
        <f t="shared" si="4"/>
        <v>9</v>
      </c>
      <c r="L33" s="2">
        <f t="shared" si="5"/>
        <v>2</v>
      </c>
      <c r="M33" s="26">
        <f t="shared" si="6"/>
        <v>1</v>
      </c>
      <c r="N33" s="3" t="s">
        <v>0</v>
      </c>
      <c r="O33" s="3" t="s">
        <v>9</v>
      </c>
      <c r="P33" s="3" t="s">
        <v>3</v>
      </c>
      <c r="Q33" s="10">
        <f>IF(OR(O33="",P33=""),"",SUMIFS('1. Points System'!$E$3:$E$24,'1. Points System'!$C$3:$C$24,O33,'1. Points System'!$D$3:$D$24,P33))</f>
        <v>3</v>
      </c>
      <c r="R33" s="6">
        <f t="shared" si="7"/>
        <v>3</v>
      </c>
      <c r="S33" s="20">
        <f t="shared" si="8"/>
        <v>1.5</v>
      </c>
      <c r="T33" s="21"/>
      <c r="U33" s="87">
        <f>MasterDataTbl[[#This Row],[2026 Total Points]]+(MasterDataTbl[[#This Row],[Goal Difference]]/1000)</f>
        <v>1.5069999999999999</v>
      </c>
    </row>
    <row r="34" spans="1:21" x14ac:dyDescent="0.25">
      <c r="A34" s="40" t="s">
        <v>159</v>
      </c>
      <c r="B34" s="15" t="s">
        <v>160</v>
      </c>
      <c r="C34" s="3" t="s">
        <v>50</v>
      </c>
      <c r="D34" s="3" t="s">
        <v>120</v>
      </c>
      <c r="E34" s="4" t="s">
        <v>144</v>
      </c>
      <c r="F34" s="26">
        <f t="shared" si="0"/>
        <v>2</v>
      </c>
      <c r="G34" s="26">
        <f t="shared" si="1"/>
        <v>9</v>
      </c>
      <c r="H34" s="25">
        <f t="shared" si="2"/>
        <v>-7</v>
      </c>
      <c r="I34" s="13" t="str">
        <f t="shared" si="10"/>
        <v>FIFH Malmo</v>
      </c>
      <c r="J34" s="2" t="str" cm="1">
        <f t="array" ref="J34">TRIM(RIGHT(E34,LEN(E34)-LOOKUP(2,1/(MID(E34,ROW($1:$60),1)=" "),ROW($1:$60))))</f>
        <v>9-2</v>
      </c>
      <c r="K34" s="2">
        <f t="shared" si="4"/>
        <v>9</v>
      </c>
      <c r="L34" s="2">
        <f t="shared" si="5"/>
        <v>2</v>
      </c>
      <c r="M34" s="26">
        <f t="shared" si="6"/>
        <v>1</v>
      </c>
      <c r="N34" s="3" t="s">
        <v>0</v>
      </c>
      <c r="O34" s="3" t="s">
        <v>9</v>
      </c>
      <c r="P34" s="3" t="s">
        <v>4</v>
      </c>
      <c r="Q34" s="10">
        <f>IF(OR(O34="",P34=""),"",SUMIFS('1. Points System'!$E$3:$E$24,'1. Points System'!$C$3:$C$24,O34,'1. Points System'!$D$3:$D$24,P34))</f>
        <v>0</v>
      </c>
      <c r="R34" s="6">
        <f t="shared" si="7"/>
        <v>0</v>
      </c>
      <c r="S34" s="20">
        <f t="shared" si="8"/>
        <v>0</v>
      </c>
      <c r="T34" s="21"/>
      <c r="U34" s="87">
        <f>MasterDataTbl[[#This Row],[2026 Total Points]]+(MasterDataTbl[[#This Row],[Goal Difference]]/1000)</f>
        <v>-7.0000000000000001E-3</v>
      </c>
    </row>
    <row r="35" spans="1:21" x14ac:dyDescent="0.25">
      <c r="A35" s="40" t="s">
        <v>159</v>
      </c>
      <c r="B35" s="15" t="s">
        <v>160</v>
      </c>
      <c r="C35" s="3" t="s">
        <v>19</v>
      </c>
      <c r="D35" s="3" t="s">
        <v>121</v>
      </c>
      <c r="E35" s="4" t="s">
        <v>145</v>
      </c>
      <c r="F35" s="26">
        <f t="shared" si="0"/>
        <v>0</v>
      </c>
      <c r="G35" s="26">
        <f t="shared" si="1"/>
        <v>3</v>
      </c>
      <c r="H35" s="25">
        <f t="shared" si="2"/>
        <v>-3</v>
      </c>
      <c r="I35" s="13" t="str">
        <f t="shared" si="10"/>
        <v>CSAVH Lyon</v>
      </c>
      <c r="J35" s="2" t="str" cm="1">
        <f t="array" ref="J35">TRIM(RIGHT(E35,LEN(E35)-LOOKUP(2,1/(MID(E35,ROW($1:$60),1)=" "),ROW($1:$60))))</f>
        <v>0-3</v>
      </c>
      <c r="K35" s="2">
        <f t="shared" ref="K35:K98" si="11">VALUE(LEFT(J35,FIND("-",SUBSTITUTE(J35,":","-"))-1))</f>
        <v>0</v>
      </c>
      <c r="L35" s="2">
        <f t="shared" ref="L35:L98" si="12">VALUE(RIGHT(SUBSTITUTE(J35,":","-"),LEN(SUBSTITUTE(J35,":","-"))-FIND("-",SUBSTITUTE(J35,":","-"))))</f>
        <v>3</v>
      </c>
      <c r="M35" s="26">
        <f t="shared" si="6"/>
        <v>1</v>
      </c>
      <c r="N35" s="3" t="s">
        <v>0</v>
      </c>
      <c r="O35" s="3" t="s">
        <v>9</v>
      </c>
      <c r="P35" s="3" t="s">
        <v>4</v>
      </c>
      <c r="Q35" s="10">
        <f>IF(OR(O35="",P35=""),"",SUMIFS('1. Points System'!$E$3:$E$24,'1. Points System'!$C$3:$C$24,O35,'1. Points System'!$D$3:$D$24,P35))</f>
        <v>0</v>
      </c>
      <c r="R35" s="6">
        <f t="shared" ref="R35:R60" si="13">Q35</f>
        <v>0</v>
      </c>
      <c r="S35" s="20">
        <f t="shared" ref="S35:S60" si="14">R35/2</f>
        <v>0</v>
      </c>
      <c r="T35" s="21"/>
      <c r="U35" s="87">
        <f>MasterDataTbl[[#This Row],[2026 Total Points]]+(MasterDataTbl[[#This Row],[Goal Difference]]/1000)</f>
        <v>-3.0000000000000001E-3</v>
      </c>
    </row>
    <row r="36" spans="1:21" x14ac:dyDescent="0.25">
      <c r="A36" s="40" t="s">
        <v>159</v>
      </c>
      <c r="B36" s="15" t="s">
        <v>160</v>
      </c>
      <c r="C36" s="3" t="s">
        <v>46</v>
      </c>
      <c r="D36" s="3" t="s">
        <v>121</v>
      </c>
      <c r="E36" s="4" t="s">
        <v>145</v>
      </c>
      <c r="F36" s="26">
        <f t="shared" si="0"/>
        <v>3</v>
      </c>
      <c r="G36" s="26">
        <f t="shared" si="1"/>
        <v>0</v>
      </c>
      <c r="H36" s="25">
        <f t="shared" si="2"/>
        <v>3</v>
      </c>
      <c r="I36" s="13" t="str">
        <f t="shared" si="10"/>
        <v>CSAVH Lyon</v>
      </c>
      <c r="J36" s="2" t="str" cm="1">
        <f t="array" ref="J36">TRIM(RIGHT(E36,LEN(E36)-LOOKUP(2,1/(MID(E36,ROW($1:$60),1)=" "),ROW($1:$60))))</f>
        <v>0-3</v>
      </c>
      <c r="K36" s="2">
        <f t="shared" si="11"/>
        <v>0</v>
      </c>
      <c r="L36" s="2">
        <f t="shared" si="12"/>
        <v>3</v>
      </c>
      <c r="M36" s="26">
        <f t="shared" si="6"/>
        <v>1</v>
      </c>
      <c r="N36" s="3" t="s">
        <v>0</v>
      </c>
      <c r="O36" s="3" t="s">
        <v>9</v>
      </c>
      <c r="P36" s="3" t="s">
        <v>3</v>
      </c>
      <c r="Q36" s="10">
        <f>IF(OR(O36="",P36=""),"",SUMIFS('1. Points System'!$E$3:$E$24,'1. Points System'!$C$3:$C$24,O36,'1. Points System'!$D$3:$D$24,P36))</f>
        <v>3</v>
      </c>
      <c r="R36" s="6">
        <f t="shared" si="13"/>
        <v>3</v>
      </c>
      <c r="S36" s="20">
        <f t="shared" si="14"/>
        <v>1.5</v>
      </c>
      <c r="T36" s="21"/>
      <c r="U36" s="87">
        <f>MasterDataTbl[[#This Row],[2026 Total Points]]+(MasterDataTbl[[#This Row],[Goal Difference]]/1000)</f>
        <v>1.5029999999999999</v>
      </c>
    </row>
    <row r="37" spans="1:21" x14ac:dyDescent="0.25">
      <c r="A37" s="40" t="s">
        <v>159</v>
      </c>
      <c r="B37" s="15" t="s">
        <v>160</v>
      </c>
      <c r="C37" s="3" t="s">
        <v>97</v>
      </c>
      <c r="D37" s="3" t="s">
        <v>122</v>
      </c>
      <c r="E37" s="4" t="s">
        <v>146</v>
      </c>
      <c r="F37" s="27">
        <f t="shared" si="0"/>
        <v>7</v>
      </c>
      <c r="G37" s="26">
        <f t="shared" si="1"/>
        <v>5</v>
      </c>
      <c r="H37" s="25">
        <f t="shared" si="2"/>
        <v>2</v>
      </c>
      <c r="I37" s="13" t="str">
        <f t="shared" si="10"/>
        <v>Kahramanmaras</v>
      </c>
      <c r="J37" s="2" t="str" cm="1">
        <f t="array" ref="J37">TRIM(RIGHT(E37,LEN(E37)-LOOKUP(2,1/(MID(E37,ROW($1:$60),1)=" "),ROW($1:$60))))</f>
        <v>7-5</v>
      </c>
      <c r="K37" s="2">
        <f t="shared" si="11"/>
        <v>7</v>
      </c>
      <c r="L37" s="2">
        <f t="shared" si="12"/>
        <v>5</v>
      </c>
      <c r="M37" s="26">
        <f t="shared" si="6"/>
        <v>1</v>
      </c>
      <c r="N37" s="3" t="s">
        <v>0</v>
      </c>
      <c r="O37" s="3" t="s">
        <v>9</v>
      </c>
      <c r="P37" s="3" t="s">
        <v>3</v>
      </c>
      <c r="Q37" s="10">
        <f>IF(OR(O37="",P37=""),"",SUMIFS('1. Points System'!$E$3:$E$24,'1. Points System'!$C$3:$C$24,O37,'1. Points System'!$D$3:$D$24,P37))</f>
        <v>3</v>
      </c>
      <c r="R37" s="6">
        <f t="shared" si="13"/>
        <v>3</v>
      </c>
      <c r="S37" s="23">
        <f t="shared" si="14"/>
        <v>1.5</v>
      </c>
      <c r="T37" s="21"/>
      <c r="U37" s="87">
        <f>MasterDataTbl[[#This Row],[2026 Total Points]]+(MasterDataTbl[[#This Row],[Goal Difference]]/1000)</f>
        <v>1.502</v>
      </c>
    </row>
    <row r="38" spans="1:21" x14ac:dyDescent="0.25">
      <c r="A38" s="40" t="s">
        <v>159</v>
      </c>
      <c r="B38" s="15" t="s">
        <v>160</v>
      </c>
      <c r="C38" s="3" t="s">
        <v>53</v>
      </c>
      <c r="D38" s="3" t="s">
        <v>122</v>
      </c>
      <c r="E38" s="4" t="s">
        <v>146</v>
      </c>
      <c r="F38" s="27">
        <f t="shared" si="0"/>
        <v>5</v>
      </c>
      <c r="G38" s="26">
        <f t="shared" si="1"/>
        <v>7</v>
      </c>
      <c r="H38" s="25">
        <f t="shared" si="2"/>
        <v>-2</v>
      </c>
      <c r="I38" s="13" t="str">
        <f t="shared" si="10"/>
        <v>Kahramanmaras</v>
      </c>
      <c r="J38" s="2" t="str" cm="1">
        <f t="array" ref="J38">TRIM(RIGHT(E38,LEN(E38)-LOOKUP(2,1/(MID(E38,ROW($1:$60),1)=" "),ROW($1:$60))))</f>
        <v>7-5</v>
      </c>
      <c r="K38" s="2">
        <f t="shared" si="11"/>
        <v>7</v>
      </c>
      <c r="L38" s="2">
        <f t="shared" si="12"/>
        <v>5</v>
      </c>
      <c r="M38" s="26">
        <f t="shared" si="6"/>
        <v>1</v>
      </c>
      <c r="N38" s="3" t="s">
        <v>0</v>
      </c>
      <c r="O38" s="3" t="s">
        <v>9</v>
      </c>
      <c r="P38" s="3" t="s">
        <v>4</v>
      </c>
      <c r="Q38" s="10">
        <f>IF(OR(O38="",P38=""),"",SUMIFS('1. Points System'!$E$3:$E$24,'1. Points System'!$C$3:$C$24,O38,'1. Points System'!$D$3:$D$24,P38))</f>
        <v>0</v>
      </c>
      <c r="R38" s="6">
        <f t="shared" si="13"/>
        <v>0</v>
      </c>
      <c r="S38" s="23">
        <f t="shared" si="14"/>
        <v>0</v>
      </c>
      <c r="T38" s="21"/>
      <c r="U38" s="87">
        <f>MasterDataTbl[[#This Row],[2026 Total Points]]+(MasterDataTbl[[#This Row],[Goal Difference]]/1000)</f>
        <v>-2E-3</v>
      </c>
    </row>
    <row r="39" spans="1:21" x14ac:dyDescent="0.25">
      <c r="A39" s="40" t="s">
        <v>159</v>
      </c>
      <c r="B39" s="15" t="s">
        <v>160</v>
      </c>
      <c r="C39" s="3" t="s">
        <v>99</v>
      </c>
      <c r="D39" s="3" t="s">
        <v>123</v>
      </c>
      <c r="E39" s="4" t="s">
        <v>147</v>
      </c>
      <c r="F39" s="27">
        <f t="shared" si="0"/>
        <v>1</v>
      </c>
      <c r="G39" s="26">
        <f t="shared" si="1"/>
        <v>5</v>
      </c>
      <c r="H39" s="25">
        <f t="shared" si="2"/>
        <v>-4</v>
      </c>
      <c r="I39" s="13" t="str">
        <f t="shared" si="10"/>
        <v>GC Golden Flash</v>
      </c>
      <c r="J39" s="2" t="str" cm="1">
        <f t="array" ref="J39">TRIM(RIGHT(E39,LEN(E39)-LOOKUP(2,1/(MID(E39,ROW($1:$60),1)=" "),ROW($1:$60))))</f>
        <v>1-5</v>
      </c>
      <c r="K39" s="2">
        <f t="shared" si="11"/>
        <v>1</v>
      </c>
      <c r="L39" s="2">
        <f t="shared" si="12"/>
        <v>5</v>
      </c>
      <c r="M39" s="26">
        <f t="shared" si="6"/>
        <v>1</v>
      </c>
      <c r="N39" s="3" t="s">
        <v>0</v>
      </c>
      <c r="O39" s="3" t="s">
        <v>9</v>
      </c>
      <c r="P39" s="3" t="s">
        <v>4</v>
      </c>
      <c r="Q39" s="10">
        <f>IF(OR(O39="",P39=""),"",SUMIFS('1. Points System'!$E$3:$E$24,'1. Points System'!$C$3:$C$24,O39,'1. Points System'!$D$3:$D$24,P39))</f>
        <v>0</v>
      </c>
      <c r="R39" s="6">
        <f t="shared" si="13"/>
        <v>0</v>
      </c>
      <c r="S39" s="23">
        <f t="shared" si="14"/>
        <v>0</v>
      </c>
      <c r="T39" s="21"/>
      <c r="U39" s="87">
        <f>MasterDataTbl[[#This Row],[2026 Total Points]]+(MasterDataTbl[[#This Row],[Goal Difference]]/1000)</f>
        <v>-4.0000000000000001E-3</v>
      </c>
    </row>
    <row r="40" spans="1:21" x14ac:dyDescent="0.25">
      <c r="A40" s="40" t="s">
        <v>159</v>
      </c>
      <c r="B40" s="15" t="s">
        <v>160</v>
      </c>
      <c r="C40" s="3" t="s">
        <v>23</v>
      </c>
      <c r="D40" s="3" t="s">
        <v>123</v>
      </c>
      <c r="E40" s="4" t="s">
        <v>147</v>
      </c>
      <c r="F40" s="27">
        <f t="shared" si="0"/>
        <v>5</v>
      </c>
      <c r="G40" s="26">
        <f t="shared" si="1"/>
        <v>1</v>
      </c>
      <c r="H40" s="25">
        <f t="shared" si="2"/>
        <v>4</v>
      </c>
      <c r="I40" s="13" t="str">
        <f t="shared" si="10"/>
        <v>GC Golden Flash</v>
      </c>
      <c r="J40" s="2" t="str" cm="1">
        <f t="array" ref="J40">TRIM(RIGHT(E40,LEN(E40)-LOOKUP(2,1/(MID(E40,ROW($1:$60),1)=" "),ROW($1:$60))))</f>
        <v>1-5</v>
      </c>
      <c r="K40" s="2">
        <f t="shared" si="11"/>
        <v>1</v>
      </c>
      <c r="L40" s="2">
        <f t="shared" si="12"/>
        <v>5</v>
      </c>
      <c r="M40" s="26">
        <f t="shared" si="6"/>
        <v>1</v>
      </c>
      <c r="N40" s="3" t="s">
        <v>0</v>
      </c>
      <c r="O40" s="3" t="s">
        <v>9</v>
      </c>
      <c r="P40" s="3" t="s">
        <v>3</v>
      </c>
      <c r="Q40" s="10">
        <f>IF(OR(O40="",P40=""),"",SUMIFS('1. Points System'!$E$3:$E$24,'1. Points System'!$C$3:$C$24,O40,'1. Points System'!$D$3:$D$24,P40))</f>
        <v>3</v>
      </c>
      <c r="R40" s="6">
        <f t="shared" si="13"/>
        <v>3</v>
      </c>
      <c r="S40" s="23">
        <f t="shared" si="14"/>
        <v>1.5</v>
      </c>
      <c r="T40" s="21"/>
      <c r="U40" s="87">
        <f>MasterDataTbl[[#This Row],[2026 Total Points]]+(MasterDataTbl[[#This Row],[Goal Difference]]/1000)</f>
        <v>1.504</v>
      </c>
    </row>
    <row r="41" spans="1:21" x14ac:dyDescent="0.25">
      <c r="A41" s="40" t="s">
        <v>159</v>
      </c>
      <c r="B41" s="15" t="s">
        <v>160</v>
      </c>
      <c r="C41" s="3" t="s">
        <v>46</v>
      </c>
      <c r="D41" s="3" t="s">
        <v>124</v>
      </c>
      <c r="E41" s="4" t="s">
        <v>148</v>
      </c>
      <c r="F41" s="27">
        <f t="shared" si="0"/>
        <v>1</v>
      </c>
      <c r="G41" s="26">
        <f t="shared" si="1"/>
        <v>6</v>
      </c>
      <c r="H41" s="25">
        <f t="shared" si="2"/>
        <v>-5</v>
      </c>
      <c r="I41" s="13" t="str">
        <f t="shared" si="10"/>
        <v>Kleio Thessaloniki</v>
      </c>
      <c r="J41" s="2" t="str" cm="1">
        <f t="array" ref="J41">TRIM(RIGHT(E41,LEN(E41)-LOOKUP(2,1/(MID(E41,ROW($1:$60),1)=" "),ROW($1:$60))))</f>
        <v>1-6</v>
      </c>
      <c r="K41" s="2">
        <f t="shared" si="11"/>
        <v>1</v>
      </c>
      <c r="L41" s="2">
        <f t="shared" si="12"/>
        <v>6</v>
      </c>
      <c r="M41" s="26">
        <f t="shared" si="6"/>
        <v>1</v>
      </c>
      <c r="N41" s="3" t="s">
        <v>0</v>
      </c>
      <c r="O41" s="3" t="s">
        <v>9</v>
      </c>
      <c r="P41" s="3" t="s">
        <v>4</v>
      </c>
      <c r="Q41" s="10">
        <f>IF(OR(O41="",P41=""),"",SUMIFS('1. Points System'!$E$3:$E$24,'1. Points System'!$C$3:$C$24,O41,'1. Points System'!$D$3:$D$24,P41))</f>
        <v>0</v>
      </c>
      <c r="R41" s="6">
        <f t="shared" si="13"/>
        <v>0</v>
      </c>
      <c r="S41" s="23">
        <f t="shared" si="14"/>
        <v>0</v>
      </c>
      <c r="T41" s="21"/>
      <c r="U41" s="87">
        <f>MasterDataTbl[[#This Row],[2026 Total Points]]+(MasterDataTbl[[#This Row],[Goal Difference]]/1000)</f>
        <v>-5.0000000000000001E-3</v>
      </c>
    </row>
    <row r="42" spans="1:21" x14ac:dyDescent="0.25">
      <c r="A42" s="40" t="s">
        <v>159</v>
      </c>
      <c r="B42" s="15" t="s">
        <v>160</v>
      </c>
      <c r="C42" s="3" t="s">
        <v>54</v>
      </c>
      <c r="D42" s="3" t="s">
        <v>124</v>
      </c>
      <c r="E42" s="4" t="s">
        <v>148</v>
      </c>
      <c r="F42" s="27">
        <f t="shared" si="0"/>
        <v>6</v>
      </c>
      <c r="G42" s="26">
        <f t="shared" si="1"/>
        <v>1</v>
      </c>
      <c r="H42" s="25">
        <f t="shared" si="2"/>
        <v>5</v>
      </c>
      <c r="I42" s="13" t="str">
        <f t="shared" si="10"/>
        <v>Kleio Thessaloniki</v>
      </c>
      <c r="J42" s="2" t="str" cm="1">
        <f t="array" ref="J42">TRIM(RIGHT(E42,LEN(E42)-LOOKUP(2,1/(MID(E42,ROW($1:$60),1)=" "),ROW($1:$60))))</f>
        <v>1-6</v>
      </c>
      <c r="K42" s="2">
        <f t="shared" si="11"/>
        <v>1</v>
      </c>
      <c r="L42" s="2">
        <f t="shared" si="12"/>
        <v>6</v>
      </c>
      <c r="M42" s="26">
        <f t="shared" si="6"/>
        <v>1</v>
      </c>
      <c r="N42" s="3" t="s">
        <v>0</v>
      </c>
      <c r="O42" s="3" t="s">
        <v>9</v>
      </c>
      <c r="P42" s="3" t="s">
        <v>3</v>
      </c>
      <c r="Q42" s="10">
        <f>IF(OR(O42="",P42=""),"",SUMIFS('1. Points System'!$E$3:$E$24,'1. Points System'!$C$3:$C$24,O42,'1. Points System'!$D$3:$D$24,P42))</f>
        <v>3</v>
      </c>
      <c r="R42" s="6">
        <f t="shared" si="13"/>
        <v>3</v>
      </c>
      <c r="S42" s="20">
        <f t="shared" si="14"/>
        <v>1.5</v>
      </c>
      <c r="T42" s="21"/>
      <c r="U42" s="87">
        <f>MasterDataTbl[[#This Row],[2026 Total Points]]+(MasterDataTbl[[#This Row],[Goal Difference]]/1000)</f>
        <v>1.5049999999999999</v>
      </c>
    </row>
    <row r="43" spans="1:21" x14ac:dyDescent="0.25">
      <c r="A43" s="40" t="s">
        <v>159</v>
      </c>
      <c r="B43" s="15" t="s">
        <v>160</v>
      </c>
      <c r="C43" s="3" t="s">
        <v>23</v>
      </c>
      <c r="D43" s="3" t="s">
        <v>125</v>
      </c>
      <c r="E43" s="4" t="s">
        <v>150</v>
      </c>
      <c r="F43" s="27">
        <f t="shared" si="0"/>
        <v>1</v>
      </c>
      <c r="G43" s="26">
        <f t="shared" si="1"/>
        <v>2</v>
      </c>
      <c r="H43" s="25">
        <f t="shared" si="2"/>
        <v>-1</v>
      </c>
      <c r="I43" s="13" t="str">
        <f t="shared" si="10"/>
        <v>Old Power</v>
      </c>
      <c r="J43" s="2" t="str" cm="1">
        <f t="array" ref="J43">TRIM(RIGHT(E43,LEN(E43)-LOOKUP(2,1/(MID(E43,ROW($1:$60),1)=" "),ROW($1:$60))))</f>
        <v>1-2</v>
      </c>
      <c r="K43" s="2">
        <f t="shared" si="11"/>
        <v>1</v>
      </c>
      <c r="L43" s="2">
        <f t="shared" si="12"/>
        <v>2</v>
      </c>
      <c r="M43" s="26">
        <f t="shared" si="6"/>
        <v>1</v>
      </c>
      <c r="N43" s="3" t="s">
        <v>35</v>
      </c>
      <c r="O43" s="3" t="s">
        <v>13</v>
      </c>
      <c r="P43" s="3" t="s">
        <v>4</v>
      </c>
      <c r="Q43" s="10">
        <f>IF(OR(O43="",P43=""),"",SUMIFS('1. Points System'!$E$3:$E$24,'1. Points System'!$C$3:$C$24,O43,'1. Points System'!$D$3:$D$24,P43))</f>
        <v>1</v>
      </c>
      <c r="R43" s="6">
        <f t="shared" si="13"/>
        <v>1</v>
      </c>
      <c r="S43" s="20">
        <f t="shared" si="14"/>
        <v>0.5</v>
      </c>
      <c r="T43" s="21"/>
      <c r="U43" s="87">
        <f>MasterDataTbl[[#This Row],[2026 Total Points]]+(MasterDataTbl[[#This Row],[Goal Difference]]/1000)</f>
        <v>0.499</v>
      </c>
    </row>
    <row r="44" spans="1:21" x14ac:dyDescent="0.25">
      <c r="A44" s="40" t="s">
        <v>159</v>
      </c>
      <c r="B44" s="15" t="s">
        <v>160</v>
      </c>
      <c r="C44" s="3" t="s">
        <v>46</v>
      </c>
      <c r="D44" s="3" t="s">
        <v>125</v>
      </c>
      <c r="E44" s="4" t="s">
        <v>150</v>
      </c>
      <c r="F44" s="27">
        <f t="shared" si="0"/>
        <v>2</v>
      </c>
      <c r="G44" s="26">
        <f t="shared" si="1"/>
        <v>1</v>
      </c>
      <c r="H44" s="25">
        <f t="shared" si="2"/>
        <v>1</v>
      </c>
      <c r="I44" s="13" t="str">
        <f t="shared" si="10"/>
        <v>Old Power</v>
      </c>
      <c r="J44" s="2" t="str" cm="1">
        <f t="array" ref="J44">TRIM(RIGHT(E44,LEN(E44)-LOOKUP(2,1/(MID(E44,ROW($1:$60),1)=" "),ROW($1:$60))))</f>
        <v>1-2</v>
      </c>
      <c r="K44" s="2">
        <f t="shared" si="11"/>
        <v>1</v>
      </c>
      <c r="L44" s="2">
        <f t="shared" si="12"/>
        <v>2</v>
      </c>
      <c r="M44" s="26">
        <f t="shared" si="6"/>
        <v>1</v>
      </c>
      <c r="N44" s="3" t="s">
        <v>35</v>
      </c>
      <c r="O44" s="3" t="s">
        <v>13</v>
      </c>
      <c r="P44" s="3" t="s">
        <v>3</v>
      </c>
      <c r="Q44" s="10">
        <f>IF(OR(O44="",P44=""),"",SUMIFS('1. Points System'!$E$3:$E$24,'1. Points System'!$C$3:$C$24,O44,'1. Points System'!$D$3:$D$24,P44))</f>
        <v>2</v>
      </c>
      <c r="R44" s="6">
        <f t="shared" si="13"/>
        <v>2</v>
      </c>
      <c r="S44" s="20">
        <f t="shared" si="14"/>
        <v>1</v>
      </c>
      <c r="T44" s="21"/>
      <c r="U44" s="87">
        <f>MasterDataTbl[[#This Row],[2026 Total Points]]+(MasterDataTbl[[#This Row],[Goal Difference]]/1000)</f>
        <v>1.0009999999999999</v>
      </c>
    </row>
    <row r="45" spans="1:21" x14ac:dyDescent="0.25">
      <c r="A45" s="40" t="s">
        <v>159</v>
      </c>
      <c r="B45" s="15" t="s">
        <v>160</v>
      </c>
      <c r="C45" s="3" t="s">
        <v>54</v>
      </c>
      <c r="D45" s="3" t="s">
        <v>126</v>
      </c>
      <c r="E45" s="4" t="s">
        <v>151</v>
      </c>
      <c r="F45" s="27">
        <f t="shared" si="0"/>
        <v>4</v>
      </c>
      <c r="G45" s="26">
        <f t="shared" si="1"/>
        <v>3</v>
      </c>
      <c r="H45" s="25">
        <f t="shared" si="2"/>
        <v>1</v>
      </c>
      <c r="I45" s="13" t="str">
        <f t="shared" si="10"/>
        <v>Näpäjä</v>
      </c>
      <c r="J45" s="2" t="str" cm="1">
        <f t="array" ref="J45">TRIM(RIGHT(E45,LEN(E45)-LOOKUP(2,1/(MID(E45,ROW($1:$60),1)=" "),ROW($1:$60))))</f>
        <v>4-3</v>
      </c>
      <c r="K45" s="2">
        <f t="shared" si="11"/>
        <v>4</v>
      </c>
      <c r="L45" s="2">
        <f t="shared" si="12"/>
        <v>3</v>
      </c>
      <c r="M45" s="26">
        <f t="shared" si="6"/>
        <v>1</v>
      </c>
      <c r="N45" s="3" t="s">
        <v>35</v>
      </c>
      <c r="O45" s="3" t="s">
        <v>7</v>
      </c>
      <c r="P45" s="3" t="s">
        <v>3</v>
      </c>
      <c r="Q45" s="10">
        <f>IF(OR(O45="",P45=""),"",SUMIFS('1. Points System'!$E$3:$E$24,'1. Points System'!$C$3:$C$24,O45,'1. Points System'!$D$3:$D$24,P45))</f>
        <v>3</v>
      </c>
      <c r="R45" s="6">
        <f t="shared" si="13"/>
        <v>3</v>
      </c>
      <c r="S45" s="20">
        <f t="shared" si="14"/>
        <v>1.5</v>
      </c>
      <c r="T45" s="21"/>
      <c r="U45" s="87">
        <f>MasterDataTbl[[#This Row],[2026 Total Points]]+(MasterDataTbl[[#This Row],[Goal Difference]]/1000)</f>
        <v>1.5009999999999999</v>
      </c>
    </row>
    <row r="46" spans="1:21" x14ac:dyDescent="0.25">
      <c r="A46" s="40" t="s">
        <v>159</v>
      </c>
      <c r="B46" s="15" t="s">
        <v>160</v>
      </c>
      <c r="C46" s="3" t="s">
        <v>99</v>
      </c>
      <c r="D46" s="3" t="s">
        <v>126</v>
      </c>
      <c r="E46" s="4" t="s">
        <v>151</v>
      </c>
      <c r="F46" s="27">
        <f t="shared" si="0"/>
        <v>3</v>
      </c>
      <c r="G46" s="26">
        <f t="shared" si="1"/>
        <v>4</v>
      </c>
      <c r="H46" s="25">
        <f t="shared" si="2"/>
        <v>-1</v>
      </c>
      <c r="I46" s="13" t="str">
        <f t="shared" si="10"/>
        <v>Näpäjä</v>
      </c>
      <c r="J46" s="2" t="str" cm="1">
        <f t="array" ref="J46">TRIM(RIGHT(E46,LEN(E46)-LOOKUP(2,1/(MID(E46,ROW($1:$60),1)=" "),ROW($1:$60))))</f>
        <v>4-3</v>
      </c>
      <c r="K46" s="2">
        <f t="shared" si="11"/>
        <v>4</v>
      </c>
      <c r="L46" s="2">
        <f t="shared" si="12"/>
        <v>3</v>
      </c>
      <c r="M46" s="26">
        <f t="shared" si="6"/>
        <v>1</v>
      </c>
      <c r="N46" s="3" t="s">
        <v>35</v>
      </c>
      <c r="O46" s="3" t="s">
        <v>7</v>
      </c>
      <c r="P46" s="3" t="s">
        <v>4</v>
      </c>
      <c r="Q46" s="10">
        <f>IF(OR(O46="",P46=""),"",SUMIFS('1. Points System'!$E$3:$E$24,'1. Points System'!$C$3:$C$24,O46,'1. Points System'!$D$3:$D$24,P46))</f>
        <v>0</v>
      </c>
      <c r="R46" s="6">
        <f t="shared" si="13"/>
        <v>0</v>
      </c>
      <c r="S46" s="20">
        <f t="shared" si="14"/>
        <v>0</v>
      </c>
      <c r="T46" s="21"/>
      <c r="U46" s="87">
        <f>MasterDataTbl[[#This Row],[2026 Total Points]]+(MasterDataTbl[[#This Row],[Goal Difference]]/1000)</f>
        <v>-1E-3</v>
      </c>
    </row>
    <row r="47" spans="1:21" x14ac:dyDescent="0.25">
      <c r="A47" s="40" t="s">
        <v>159</v>
      </c>
      <c r="B47" s="15" t="s">
        <v>160</v>
      </c>
      <c r="C47" s="3" t="s">
        <v>98</v>
      </c>
      <c r="D47" s="3" t="s">
        <v>127</v>
      </c>
      <c r="E47" s="4" t="s">
        <v>152</v>
      </c>
      <c r="F47" s="27">
        <f t="shared" si="0"/>
        <v>1</v>
      </c>
      <c r="G47" s="26">
        <f t="shared" si="1"/>
        <v>3</v>
      </c>
      <c r="H47" s="25">
        <f t="shared" si="2"/>
        <v>-2</v>
      </c>
      <c r="I47" s="13" t="str">
        <f t="shared" si="10"/>
        <v>FIFH Malmo</v>
      </c>
      <c r="J47" s="2" t="str" cm="1">
        <f t="array" ref="J47">TRIM(RIGHT(E47,LEN(E47)-LOOKUP(2,1/(MID(E47,ROW($1:$60),1)=" "),ROW($1:$60))))</f>
        <v>1-3</v>
      </c>
      <c r="K47" s="2">
        <f t="shared" si="11"/>
        <v>1</v>
      </c>
      <c r="L47" s="2">
        <f t="shared" si="12"/>
        <v>3</v>
      </c>
      <c r="M47" s="26">
        <f t="shared" si="6"/>
        <v>1</v>
      </c>
      <c r="N47" s="3" t="s">
        <v>1</v>
      </c>
      <c r="O47" s="3" t="s">
        <v>30</v>
      </c>
      <c r="P47" s="3" t="s">
        <v>4</v>
      </c>
      <c r="Q47" s="10">
        <f>IF(OR(O47="",P47=""),"",SUMIFS('1. Points System'!$E$3:$E$24,'1. Points System'!$C$3:$C$24,O47,'1. Points System'!$D$3:$D$24,P47))</f>
        <v>0</v>
      </c>
      <c r="R47" s="6">
        <f t="shared" si="13"/>
        <v>0</v>
      </c>
      <c r="S47" s="20">
        <f t="shared" si="14"/>
        <v>0</v>
      </c>
      <c r="T47" s="21"/>
      <c r="U47" s="87">
        <f>MasterDataTbl[[#This Row],[2026 Total Points]]+(MasterDataTbl[[#This Row],[Goal Difference]]/1000)</f>
        <v>-2E-3</v>
      </c>
    </row>
    <row r="48" spans="1:21" x14ac:dyDescent="0.25">
      <c r="A48" s="40" t="s">
        <v>159</v>
      </c>
      <c r="B48" s="15" t="s">
        <v>160</v>
      </c>
      <c r="C48" s="3" t="s">
        <v>53</v>
      </c>
      <c r="D48" s="3" t="s">
        <v>127</v>
      </c>
      <c r="E48" s="4" t="s">
        <v>152</v>
      </c>
      <c r="F48" s="27">
        <f t="shared" si="0"/>
        <v>3</v>
      </c>
      <c r="G48" s="26">
        <f t="shared" si="1"/>
        <v>1</v>
      </c>
      <c r="H48" s="25">
        <f t="shared" si="2"/>
        <v>2</v>
      </c>
      <c r="I48" s="13" t="str">
        <f t="shared" si="10"/>
        <v>FIFH Malmo</v>
      </c>
      <c r="J48" s="2" t="str" cm="1">
        <f t="array" ref="J48">TRIM(RIGHT(E48,LEN(E48)-LOOKUP(2,1/(MID(E48,ROW($1:$60),1)=" "),ROW($1:$60))))</f>
        <v>1-3</v>
      </c>
      <c r="K48" s="2">
        <f t="shared" si="11"/>
        <v>1</v>
      </c>
      <c r="L48" s="2">
        <f t="shared" si="12"/>
        <v>3</v>
      </c>
      <c r="M48" s="26">
        <f t="shared" si="6"/>
        <v>1</v>
      </c>
      <c r="N48" s="3" t="s">
        <v>1</v>
      </c>
      <c r="O48" s="3" t="s">
        <v>30</v>
      </c>
      <c r="P48" s="3" t="s">
        <v>3</v>
      </c>
      <c r="Q48" s="10">
        <f>IF(OR(O48="",P48=""),"",SUMIFS('1. Points System'!$E$3:$E$24,'1. Points System'!$C$3:$C$24,O48,'1. Points System'!$D$3:$D$24,P48))</f>
        <v>4.5</v>
      </c>
      <c r="R48" s="6">
        <f t="shared" si="13"/>
        <v>4.5</v>
      </c>
      <c r="S48" s="20">
        <f t="shared" si="14"/>
        <v>2.25</v>
      </c>
      <c r="T48" s="21"/>
      <c r="U48" s="87">
        <f>MasterDataTbl[[#This Row],[2026 Total Points]]+(MasterDataTbl[[#This Row],[Goal Difference]]/1000)</f>
        <v>2.2519999999999998</v>
      </c>
    </row>
    <row r="49" spans="1:21" x14ac:dyDescent="0.25">
      <c r="A49" s="40" t="s">
        <v>159</v>
      </c>
      <c r="B49" s="15" t="s">
        <v>160</v>
      </c>
      <c r="C49" s="3" t="s">
        <v>97</v>
      </c>
      <c r="D49" s="3" t="s">
        <v>128</v>
      </c>
      <c r="E49" s="4" t="s">
        <v>153</v>
      </c>
      <c r="F49" s="27">
        <f t="shared" si="0"/>
        <v>6</v>
      </c>
      <c r="G49" s="26">
        <f t="shared" si="1"/>
        <v>2</v>
      </c>
      <c r="H49" s="25">
        <f t="shared" si="2"/>
        <v>4</v>
      </c>
      <c r="I49" s="13" t="str">
        <f t="shared" si="10"/>
        <v>Kahramanmaras</v>
      </c>
      <c r="J49" s="2" t="str" cm="1">
        <f t="array" ref="J49">TRIM(RIGHT(E49,LEN(E49)-LOOKUP(2,1/(MID(E49,ROW($1:$60),1)=" "),ROW($1:$60))))</f>
        <v>6-2</v>
      </c>
      <c r="K49" s="2">
        <f t="shared" si="11"/>
        <v>6</v>
      </c>
      <c r="L49" s="2">
        <f t="shared" si="12"/>
        <v>2</v>
      </c>
      <c r="M49" s="26">
        <f t="shared" si="6"/>
        <v>1</v>
      </c>
      <c r="N49" s="3" t="s">
        <v>1</v>
      </c>
      <c r="O49" s="3" t="s">
        <v>30</v>
      </c>
      <c r="P49" s="3" t="s">
        <v>3</v>
      </c>
      <c r="Q49" s="10">
        <f>IF(OR(O49="",P49=""),"",SUMIFS('1. Points System'!$E$3:$E$24,'1. Points System'!$C$3:$C$24,O49,'1. Points System'!$D$3:$D$24,P49))</f>
        <v>4.5</v>
      </c>
      <c r="R49" s="6">
        <f t="shared" si="13"/>
        <v>4.5</v>
      </c>
      <c r="S49" s="20">
        <f t="shared" si="14"/>
        <v>2.25</v>
      </c>
      <c r="T49" s="21"/>
      <c r="U49" s="87">
        <f>MasterDataTbl[[#This Row],[2026 Total Points]]+(MasterDataTbl[[#This Row],[Goal Difference]]/1000)</f>
        <v>2.254</v>
      </c>
    </row>
    <row r="50" spans="1:21" x14ac:dyDescent="0.25">
      <c r="A50" s="40" t="s">
        <v>159</v>
      </c>
      <c r="B50" s="15" t="s">
        <v>160</v>
      </c>
      <c r="C50" s="3" t="s">
        <v>50</v>
      </c>
      <c r="D50" s="3" t="s">
        <v>128</v>
      </c>
      <c r="E50" s="4" t="s">
        <v>153</v>
      </c>
      <c r="F50" s="27">
        <f t="shared" si="0"/>
        <v>2</v>
      </c>
      <c r="G50" s="26">
        <f t="shared" si="1"/>
        <v>6</v>
      </c>
      <c r="H50" s="25">
        <f t="shared" si="2"/>
        <v>-4</v>
      </c>
      <c r="I50" s="13" t="str">
        <f t="shared" si="10"/>
        <v>Kahramanmaras</v>
      </c>
      <c r="J50" s="2" t="str" cm="1">
        <f t="array" ref="J50">TRIM(RIGHT(E50,LEN(E50)-LOOKUP(2,1/(MID(E50,ROW($1:$60),1)=" "),ROW($1:$60))))</f>
        <v>6-2</v>
      </c>
      <c r="K50" s="2">
        <f t="shared" si="11"/>
        <v>6</v>
      </c>
      <c r="L50" s="2">
        <f t="shared" si="12"/>
        <v>2</v>
      </c>
      <c r="M50" s="26">
        <f t="shared" si="6"/>
        <v>1</v>
      </c>
      <c r="N50" s="3" t="s">
        <v>1</v>
      </c>
      <c r="O50" s="3" t="s">
        <v>30</v>
      </c>
      <c r="P50" s="3" t="s">
        <v>4</v>
      </c>
      <c r="Q50" s="10">
        <f>IF(OR(O50="",P50=""),"",SUMIFS('1. Points System'!$E$3:$E$24,'1. Points System'!$C$3:$C$24,O50,'1. Points System'!$D$3:$D$24,P50))</f>
        <v>0</v>
      </c>
      <c r="R50" s="6">
        <f t="shared" si="13"/>
        <v>0</v>
      </c>
      <c r="S50" s="20">
        <f t="shared" si="14"/>
        <v>0</v>
      </c>
      <c r="T50" s="21"/>
      <c r="U50" s="87">
        <f>MasterDataTbl[[#This Row],[2026 Total Points]]+(MasterDataTbl[[#This Row],[Goal Difference]]/1000)</f>
        <v>-4.0000000000000001E-3</v>
      </c>
    </row>
    <row r="51" spans="1:21" x14ac:dyDescent="0.25">
      <c r="A51" s="40" t="s">
        <v>159</v>
      </c>
      <c r="B51" s="15" t="s">
        <v>160</v>
      </c>
      <c r="C51" s="3" t="s">
        <v>100</v>
      </c>
      <c r="D51" s="4" t="s">
        <v>129</v>
      </c>
      <c r="E51" s="4" t="s">
        <v>154</v>
      </c>
      <c r="F51" s="27">
        <f t="shared" si="0"/>
        <v>15</v>
      </c>
      <c r="G51" s="26">
        <f t="shared" si="1"/>
        <v>7</v>
      </c>
      <c r="H51" s="25">
        <f t="shared" si="2"/>
        <v>8</v>
      </c>
      <c r="I51" s="13" t="str">
        <f t="shared" si="10"/>
        <v>USV Hercules</v>
      </c>
      <c r="J51" s="2" t="str" cm="1">
        <f t="array" ref="J51">TRIM(RIGHT(E51,LEN(E51)-LOOKUP(2,1/(MID(E51,ROW($1:$60),1)=" "),ROW($1:$60))))</f>
        <v>15-7</v>
      </c>
      <c r="K51" s="2">
        <f t="shared" si="11"/>
        <v>15</v>
      </c>
      <c r="L51" s="2">
        <f t="shared" si="12"/>
        <v>7</v>
      </c>
      <c r="M51" s="26">
        <f t="shared" si="6"/>
        <v>1</v>
      </c>
      <c r="N51" s="3" t="s">
        <v>35</v>
      </c>
      <c r="O51" s="3" t="s">
        <v>7</v>
      </c>
      <c r="P51" s="3" t="s">
        <v>3</v>
      </c>
      <c r="Q51" s="10">
        <f>IF(OR(O51="",P51=""),"",SUMIFS('1. Points System'!$E$3:$E$24,'1. Points System'!$C$3:$C$24,O51,'1. Points System'!$D$3:$D$24,P51))</f>
        <v>3</v>
      </c>
      <c r="R51" s="6">
        <f t="shared" si="13"/>
        <v>3</v>
      </c>
      <c r="S51" s="20">
        <f t="shared" si="14"/>
        <v>1.5</v>
      </c>
      <c r="T51" s="21"/>
      <c r="U51" s="87">
        <f>MasterDataTbl[[#This Row],[2026 Total Points]]+(MasterDataTbl[[#This Row],[Goal Difference]]/1000)</f>
        <v>1.508</v>
      </c>
    </row>
    <row r="52" spans="1:21" x14ac:dyDescent="0.25">
      <c r="A52" s="40" t="s">
        <v>159</v>
      </c>
      <c r="B52" s="15" t="s">
        <v>160</v>
      </c>
      <c r="C52" s="3" t="s">
        <v>19</v>
      </c>
      <c r="D52" s="4" t="s">
        <v>129</v>
      </c>
      <c r="E52" s="4" t="s">
        <v>154</v>
      </c>
      <c r="F52" s="27">
        <f t="shared" si="0"/>
        <v>7</v>
      </c>
      <c r="G52" s="26">
        <f t="shared" si="1"/>
        <v>15</v>
      </c>
      <c r="H52" s="25">
        <f t="shared" si="2"/>
        <v>-8</v>
      </c>
      <c r="I52" s="13" t="str">
        <f t="shared" si="10"/>
        <v>USV Hercules</v>
      </c>
      <c r="J52" s="2" t="str" cm="1">
        <f t="array" ref="J52">TRIM(RIGHT(E52,LEN(E52)-LOOKUP(2,1/(MID(E52,ROW($1:$60),1)=" "),ROW($1:$60))))</f>
        <v>15-7</v>
      </c>
      <c r="K52" s="2">
        <f t="shared" si="11"/>
        <v>15</v>
      </c>
      <c r="L52" s="2">
        <f t="shared" si="12"/>
        <v>7</v>
      </c>
      <c r="M52" s="26">
        <f t="shared" si="6"/>
        <v>1</v>
      </c>
      <c r="N52" s="3" t="s">
        <v>35</v>
      </c>
      <c r="O52" s="3" t="s">
        <v>7</v>
      </c>
      <c r="P52" s="3" t="s">
        <v>4</v>
      </c>
      <c r="Q52" s="10">
        <f>IF(OR(O52="",P52=""),"",SUMIFS('1. Points System'!$E$3:$E$24,'1. Points System'!$C$3:$C$24,O52,'1. Points System'!$D$3:$D$24,P52))</f>
        <v>0</v>
      </c>
      <c r="R52" s="6">
        <f t="shared" si="13"/>
        <v>0</v>
      </c>
      <c r="S52" s="20">
        <f t="shared" si="14"/>
        <v>0</v>
      </c>
      <c r="T52" s="21"/>
      <c r="U52" s="87">
        <f>MasterDataTbl[[#This Row],[2026 Total Points]]+(MasterDataTbl[[#This Row],[Goal Difference]]/1000)</f>
        <v>-8.0000000000000002E-3</v>
      </c>
    </row>
    <row r="53" spans="1:21" x14ac:dyDescent="0.25">
      <c r="A53" s="40" t="s">
        <v>159</v>
      </c>
      <c r="B53" s="15" t="s">
        <v>160</v>
      </c>
      <c r="C53" s="3" t="s">
        <v>23</v>
      </c>
      <c r="D53" s="4" t="s">
        <v>130</v>
      </c>
      <c r="E53" s="4" t="s">
        <v>155</v>
      </c>
      <c r="F53" s="27">
        <f t="shared" si="0"/>
        <v>4</v>
      </c>
      <c r="G53" s="26">
        <f t="shared" si="1"/>
        <v>2</v>
      </c>
      <c r="H53" s="25">
        <f t="shared" si="2"/>
        <v>2</v>
      </c>
      <c r="I53" s="13" t="str">
        <f t="shared" si="10"/>
        <v>Old Power</v>
      </c>
      <c r="J53" s="2" t="str" cm="1">
        <f t="array" ref="J53">TRIM(RIGHT(E53,LEN(E53)-LOOKUP(2,1/(MID(E53,ROW($1:$60),1)=" "),ROW($1:$60))))</f>
        <v>4-2</v>
      </c>
      <c r="K53" s="2">
        <f t="shared" si="11"/>
        <v>4</v>
      </c>
      <c r="L53" s="2">
        <f t="shared" si="12"/>
        <v>2</v>
      </c>
      <c r="M53" s="26">
        <f t="shared" si="6"/>
        <v>1</v>
      </c>
      <c r="N53" s="3" t="s">
        <v>35</v>
      </c>
      <c r="O53" s="3" t="s">
        <v>7</v>
      </c>
      <c r="P53" s="3" t="s">
        <v>3</v>
      </c>
      <c r="Q53" s="10">
        <f>IF(OR(O53="",P53=""),"",SUMIFS('1. Points System'!$E$3:$E$24,'1. Points System'!$C$3:$C$24,O53,'1. Points System'!$D$3:$D$24,P53))</f>
        <v>3</v>
      </c>
      <c r="R53" s="6">
        <f t="shared" si="13"/>
        <v>3</v>
      </c>
      <c r="S53" s="20">
        <f t="shared" si="14"/>
        <v>1.5</v>
      </c>
      <c r="T53" s="21"/>
      <c r="U53" s="87">
        <f>MasterDataTbl[[#This Row],[2026 Total Points]]+(MasterDataTbl[[#This Row],[Goal Difference]]/1000)</f>
        <v>1.502</v>
      </c>
    </row>
    <row r="54" spans="1:21" x14ac:dyDescent="0.25">
      <c r="A54" s="40" t="s">
        <v>159</v>
      </c>
      <c r="B54" s="15" t="s">
        <v>160</v>
      </c>
      <c r="C54" s="3" t="s">
        <v>99</v>
      </c>
      <c r="D54" s="3" t="s">
        <v>130</v>
      </c>
      <c r="E54" s="4" t="s">
        <v>155</v>
      </c>
      <c r="F54" s="27">
        <f t="shared" si="0"/>
        <v>2</v>
      </c>
      <c r="G54" s="26">
        <f t="shared" si="1"/>
        <v>4</v>
      </c>
      <c r="H54" s="25">
        <f t="shared" si="2"/>
        <v>-2</v>
      </c>
      <c r="I54" s="13" t="str">
        <f t="shared" si="10"/>
        <v>Old Power</v>
      </c>
      <c r="J54" s="2" t="str" cm="1">
        <f t="array" ref="J54">TRIM(RIGHT(E54,LEN(E54)-LOOKUP(2,1/(MID(E54,ROW($1:$60),1)=" "),ROW($1:$60))))</f>
        <v>4-2</v>
      </c>
      <c r="K54" s="2">
        <f t="shared" si="11"/>
        <v>4</v>
      </c>
      <c r="L54" s="2">
        <f t="shared" si="12"/>
        <v>2</v>
      </c>
      <c r="M54" s="26">
        <f t="shared" si="6"/>
        <v>1</v>
      </c>
      <c r="N54" s="3" t="s">
        <v>35</v>
      </c>
      <c r="O54" s="3" t="s">
        <v>7</v>
      </c>
      <c r="P54" s="3" t="s">
        <v>4</v>
      </c>
      <c r="Q54" s="10">
        <f>IF(OR(O54="",P54=""),"",SUMIFS('1. Points System'!$E$3:$E$24,'1. Points System'!$C$3:$C$24,O54,'1. Points System'!$D$3:$D$24,P54))</f>
        <v>0</v>
      </c>
      <c r="R54" s="6">
        <f t="shared" si="13"/>
        <v>0</v>
      </c>
      <c r="S54" s="20">
        <f t="shared" si="14"/>
        <v>0</v>
      </c>
      <c r="T54" s="21"/>
      <c r="U54" s="87">
        <f>MasterDataTbl[[#This Row],[2026 Total Points]]+(MasterDataTbl[[#This Row],[Goal Difference]]/1000)</f>
        <v>-2E-3</v>
      </c>
    </row>
    <row r="55" spans="1:21" x14ac:dyDescent="0.25">
      <c r="A55" s="40" t="s">
        <v>159</v>
      </c>
      <c r="B55" s="15" t="s">
        <v>160</v>
      </c>
      <c r="C55" s="3" t="s">
        <v>46</v>
      </c>
      <c r="D55" s="3" t="s">
        <v>131</v>
      </c>
      <c r="E55" s="4" t="s">
        <v>156</v>
      </c>
      <c r="F55" s="27">
        <f t="shared" si="0"/>
        <v>0</v>
      </c>
      <c r="G55" s="26">
        <f t="shared" si="1"/>
        <v>4</v>
      </c>
      <c r="H55" s="25">
        <f t="shared" si="2"/>
        <v>-4</v>
      </c>
      <c r="I55" s="13" t="str">
        <f t="shared" si="10"/>
        <v>Kleio Thessaloniki</v>
      </c>
      <c r="J55" s="2" t="str" cm="1">
        <f t="array" ref="J55">TRIM(RIGHT(E55,LEN(E55)-LOOKUP(2,1/(MID(E55,ROW($1:$60),1)=" "),ROW($1:$60))))</f>
        <v>0-4</v>
      </c>
      <c r="K55" s="2">
        <f t="shared" si="11"/>
        <v>0</v>
      </c>
      <c r="L55" s="2">
        <f t="shared" si="12"/>
        <v>4</v>
      </c>
      <c r="M55" s="26">
        <f t="shared" si="6"/>
        <v>1</v>
      </c>
      <c r="N55" s="3" t="s">
        <v>35</v>
      </c>
      <c r="O55" s="3" t="s">
        <v>7</v>
      </c>
      <c r="P55" s="3" t="s">
        <v>4</v>
      </c>
      <c r="Q55" s="10">
        <f>IF(OR(O55="",P55=""),"",SUMIFS('1. Points System'!$E$3:$E$24,'1. Points System'!$C$3:$C$24,O55,'1. Points System'!$D$3:$D$24,P55))</f>
        <v>0</v>
      </c>
      <c r="R55" s="6">
        <f t="shared" si="13"/>
        <v>0</v>
      </c>
      <c r="S55" s="20">
        <f t="shared" si="14"/>
        <v>0</v>
      </c>
      <c r="T55" s="21"/>
      <c r="U55" s="87">
        <f>MasterDataTbl[[#This Row],[2026 Total Points]]+(MasterDataTbl[[#This Row],[Goal Difference]]/1000)</f>
        <v>-4.0000000000000001E-3</v>
      </c>
    </row>
    <row r="56" spans="1:21" x14ac:dyDescent="0.25">
      <c r="A56" s="40" t="s">
        <v>159</v>
      </c>
      <c r="B56" s="15" t="s">
        <v>160</v>
      </c>
      <c r="C56" s="3" t="s">
        <v>54</v>
      </c>
      <c r="D56" s="3" t="s">
        <v>131</v>
      </c>
      <c r="E56" s="4" t="s">
        <v>156</v>
      </c>
      <c r="F56" s="27">
        <f t="shared" si="0"/>
        <v>4</v>
      </c>
      <c r="G56" s="26">
        <f t="shared" si="1"/>
        <v>0</v>
      </c>
      <c r="H56" s="25">
        <f t="shared" si="2"/>
        <v>4</v>
      </c>
      <c r="I56" s="13" t="str">
        <f t="shared" si="10"/>
        <v>Kleio Thessaloniki</v>
      </c>
      <c r="J56" s="2" t="str" cm="1">
        <f t="array" ref="J56">TRIM(RIGHT(E56,LEN(E56)-LOOKUP(2,1/(MID(E56,ROW($1:$60),1)=" "),ROW($1:$60))))</f>
        <v>0-4</v>
      </c>
      <c r="K56" s="2">
        <f t="shared" si="11"/>
        <v>0</v>
      </c>
      <c r="L56" s="2">
        <f t="shared" si="12"/>
        <v>4</v>
      </c>
      <c r="M56" s="26">
        <f t="shared" si="6"/>
        <v>1</v>
      </c>
      <c r="N56" s="3" t="s">
        <v>35</v>
      </c>
      <c r="O56" s="3" t="s">
        <v>7</v>
      </c>
      <c r="P56" s="3" t="s">
        <v>3</v>
      </c>
      <c r="Q56" s="10">
        <f>IF(OR(O56="",P56=""),"",SUMIFS('1. Points System'!$E$3:$E$24,'1. Points System'!$C$3:$C$24,O56,'1. Points System'!$D$3:$D$24,P56))</f>
        <v>3</v>
      </c>
      <c r="R56" s="6">
        <f t="shared" si="13"/>
        <v>3</v>
      </c>
      <c r="S56" s="20">
        <f t="shared" si="14"/>
        <v>1.5</v>
      </c>
      <c r="T56" s="21"/>
      <c r="U56" s="87">
        <f>MasterDataTbl[[#This Row],[2026 Total Points]]+(MasterDataTbl[[#This Row],[Goal Difference]]/1000)</f>
        <v>1.504</v>
      </c>
    </row>
    <row r="57" spans="1:21" x14ac:dyDescent="0.25">
      <c r="A57" s="40" t="s">
        <v>159</v>
      </c>
      <c r="B57" s="15" t="s">
        <v>160</v>
      </c>
      <c r="C57" s="3" t="s">
        <v>98</v>
      </c>
      <c r="D57" s="3" t="s">
        <v>132</v>
      </c>
      <c r="E57" s="4" t="s">
        <v>158</v>
      </c>
      <c r="F57" s="27">
        <f t="shared" si="0"/>
        <v>6</v>
      </c>
      <c r="G57" s="26">
        <f t="shared" si="1"/>
        <v>3</v>
      </c>
      <c r="H57" s="25">
        <f t="shared" si="2"/>
        <v>3</v>
      </c>
      <c r="I57" s="13" t="str">
        <f t="shared" si="10"/>
        <v>FIFH Malmo</v>
      </c>
      <c r="J57" s="2" t="str" cm="1">
        <f t="array" ref="J57">TRIM(RIGHT(E57,LEN(E57)-LOOKUP(2,1/(MID(E57,ROW($1:$60),1)=" "),ROW($1:$60))))</f>
        <v>6-3</v>
      </c>
      <c r="K57" s="2">
        <f t="shared" si="11"/>
        <v>6</v>
      </c>
      <c r="L57" s="2">
        <f t="shared" si="12"/>
        <v>3</v>
      </c>
      <c r="M57" s="26">
        <f t="shared" si="6"/>
        <v>1</v>
      </c>
      <c r="N57" s="3" t="s">
        <v>2</v>
      </c>
      <c r="O57" s="3" t="s">
        <v>31</v>
      </c>
      <c r="P57" s="3" t="s">
        <v>3</v>
      </c>
      <c r="Q57" s="10">
        <f>IF(OR(O57="",P57=""),"",SUMIFS('1. Points System'!$E$3:$E$24,'1. Points System'!$C$3:$C$24,O57,'1. Points System'!$D$3:$D$24,P57))</f>
        <v>3</v>
      </c>
      <c r="R57" s="6">
        <f t="shared" si="13"/>
        <v>3</v>
      </c>
      <c r="S57" s="20">
        <f t="shared" si="14"/>
        <v>1.5</v>
      </c>
      <c r="T57" s="21"/>
      <c r="U57" s="87">
        <f>MasterDataTbl[[#This Row],[2026 Total Points]]+(MasterDataTbl[[#This Row],[Goal Difference]]/1000)</f>
        <v>1.5029999999999999</v>
      </c>
    </row>
    <row r="58" spans="1:21" x14ac:dyDescent="0.25">
      <c r="A58" s="40" t="s">
        <v>159</v>
      </c>
      <c r="B58" s="15" t="s">
        <v>160</v>
      </c>
      <c r="C58" s="3" t="s">
        <v>50</v>
      </c>
      <c r="D58" s="3" t="s">
        <v>132</v>
      </c>
      <c r="E58" s="4" t="s">
        <v>158</v>
      </c>
      <c r="F58" s="27">
        <f t="shared" si="0"/>
        <v>3</v>
      </c>
      <c r="G58" s="26">
        <f t="shared" si="1"/>
        <v>6</v>
      </c>
      <c r="H58" s="25">
        <f t="shared" si="2"/>
        <v>-3</v>
      </c>
      <c r="I58" s="13" t="str">
        <f t="shared" si="10"/>
        <v>FIFH Malmo</v>
      </c>
      <c r="J58" s="2" t="str" cm="1">
        <f t="array" ref="J58">TRIM(RIGHT(E58,LEN(E58)-LOOKUP(2,1/(MID(E58,ROW($1:$60),1)=" "),ROW($1:$60))))</f>
        <v>6-3</v>
      </c>
      <c r="K58" s="2">
        <f t="shared" si="11"/>
        <v>6</v>
      </c>
      <c r="L58" s="2">
        <f t="shared" si="12"/>
        <v>3</v>
      </c>
      <c r="M58" s="26">
        <f t="shared" si="6"/>
        <v>1</v>
      </c>
      <c r="N58" s="3" t="s">
        <v>2</v>
      </c>
      <c r="O58" s="3" t="s">
        <v>31</v>
      </c>
      <c r="P58" s="3" t="s">
        <v>4</v>
      </c>
      <c r="Q58" s="10">
        <f>IF(OR(O58="",P58=""),"",SUMIFS('1. Points System'!$E$3:$E$24,'1. Points System'!$C$3:$C$24,O58,'1. Points System'!$D$3:$D$24,P58))</f>
        <v>1.5</v>
      </c>
      <c r="R58" s="6">
        <f t="shared" si="13"/>
        <v>1.5</v>
      </c>
      <c r="S58" s="20">
        <f t="shared" si="14"/>
        <v>0.75</v>
      </c>
      <c r="T58" s="21"/>
      <c r="U58" s="87">
        <f>MasterDataTbl[[#This Row],[2026 Total Points]]+(MasterDataTbl[[#This Row],[Goal Difference]]/1000)</f>
        <v>0.747</v>
      </c>
    </row>
    <row r="59" spans="1:21" x14ac:dyDescent="0.25">
      <c r="A59" s="40" t="s">
        <v>159</v>
      </c>
      <c r="B59" s="15" t="s">
        <v>160</v>
      </c>
      <c r="C59" s="3" t="s">
        <v>53</v>
      </c>
      <c r="D59" s="3" t="s">
        <v>133</v>
      </c>
      <c r="E59" s="4" t="s">
        <v>157</v>
      </c>
      <c r="F59" s="27">
        <f t="shared" si="0"/>
        <v>4</v>
      </c>
      <c r="G59" s="26">
        <f t="shared" si="1"/>
        <v>1</v>
      </c>
      <c r="H59" s="25">
        <f t="shared" si="2"/>
        <v>3</v>
      </c>
      <c r="I59" s="13" t="str">
        <f t="shared" si="10"/>
        <v>Füchse Berlin</v>
      </c>
      <c r="J59" s="2" t="str" cm="1">
        <f t="array" ref="J59">TRIM(RIGHT(E59,LEN(E59)-LOOKUP(2,1/(MID(E59,ROW($1:$60),1)=" "),ROW($1:$60))))</f>
        <v>4-1</v>
      </c>
      <c r="K59" s="2">
        <f t="shared" si="11"/>
        <v>4</v>
      </c>
      <c r="L59" s="2">
        <f t="shared" si="12"/>
        <v>1</v>
      </c>
      <c r="M59" s="26">
        <f t="shared" si="6"/>
        <v>1</v>
      </c>
      <c r="N59" s="3" t="s">
        <v>2</v>
      </c>
      <c r="O59" s="3" t="s">
        <v>30</v>
      </c>
      <c r="P59" s="3" t="s">
        <v>3</v>
      </c>
      <c r="Q59" s="10">
        <f>IF(OR(O59="",P59=""),"",SUMIFS('1. Points System'!$E$3:$E$24,'1. Points System'!$C$3:$C$24,O59,'1. Points System'!$D$3:$D$24,P59))</f>
        <v>4.5</v>
      </c>
      <c r="R59" s="6">
        <f t="shared" si="13"/>
        <v>4.5</v>
      </c>
      <c r="S59" s="20">
        <f t="shared" si="14"/>
        <v>2.25</v>
      </c>
      <c r="T59" s="21"/>
      <c r="U59" s="87">
        <f>MasterDataTbl[[#This Row],[2026 Total Points]]+(MasterDataTbl[[#This Row],[Goal Difference]]/1000)</f>
        <v>2.2530000000000001</v>
      </c>
    </row>
    <row r="60" spans="1:21" x14ac:dyDescent="0.25">
      <c r="A60" s="40" t="s">
        <v>159</v>
      </c>
      <c r="B60" s="15" t="s">
        <v>160</v>
      </c>
      <c r="C60" s="3" t="s">
        <v>97</v>
      </c>
      <c r="D60" s="3" t="s">
        <v>133</v>
      </c>
      <c r="E60" s="4" t="s">
        <v>157</v>
      </c>
      <c r="F60" s="27">
        <f t="shared" si="0"/>
        <v>1</v>
      </c>
      <c r="G60" s="26">
        <f t="shared" si="1"/>
        <v>4</v>
      </c>
      <c r="H60" s="25">
        <f t="shared" si="2"/>
        <v>-3</v>
      </c>
      <c r="I60" s="13" t="str">
        <f t="shared" si="10"/>
        <v>Füchse Berlin</v>
      </c>
      <c r="J60" s="2" t="str" cm="1">
        <f t="array" ref="J60">TRIM(RIGHT(E60,LEN(E60)-LOOKUP(2,1/(MID(E60,ROW($1:$60),1)=" "),ROW($1:$60))))</f>
        <v>4-1</v>
      </c>
      <c r="K60" s="2">
        <f t="shared" si="11"/>
        <v>4</v>
      </c>
      <c r="L60" s="2">
        <f t="shared" si="12"/>
        <v>1</v>
      </c>
      <c r="M60" s="26">
        <f t="shared" si="6"/>
        <v>1</v>
      </c>
      <c r="N60" s="3" t="s">
        <v>2</v>
      </c>
      <c r="O60" s="3" t="s">
        <v>30</v>
      </c>
      <c r="P60" s="3" t="s">
        <v>4</v>
      </c>
      <c r="Q60" s="10">
        <f>IF(OR(O60="",P60=""),"",SUMIFS('1. Points System'!$E$3:$E$24,'1. Points System'!$C$3:$C$24,O60,'1. Points System'!$D$3:$D$24,P60))</f>
        <v>0</v>
      </c>
      <c r="R60" s="6">
        <f t="shared" si="13"/>
        <v>0</v>
      </c>
      <c r="S60" s="20">
        <f t="shared" si="14"/>
        <v>0</v>
      </c>
      <c r="T60" s="21"/>
      <c r="U60" s="87">
        <f>MasterDataTbl[[#This Row],[2026 Total Points]]+(MasterDataTbl[[#This Row],[Goal Difference]]/1000)</f>
        <v>-3.0000000000000001E-3</v>
      </c>
    </row>
    <row r="61" spans="1:21" x14ac:dyDescent="0.25">
      <c r="A61" s="41" t="s">
        <v>161</v>
      </c>
      <c r="B61" s="17" t="s">
        <v>162</v>
      </c>
      <c r="C61" s="3" t="s">
        <v>98</v>
      </c>
      <c r="D61" s="4" t="s">
        <v>163</v>
      </c>
      <c r="E61" s="3" t="s">
        <v>207</v>
      </c>
      <c r="F61" s="27">
        <f t="shared" si="0"/>
        <v>9</v>
      </c>
      <c r="G61" s="26">
        <f t="shared" si="1"/>
        <v>4</v>
      </c>
      <c r="H61" s="25">
        <f t="shared" ref="H61:H73" si="15">F61-G61</f>
        <v>5</v>
      </c>
      <c r="I61" s="13" t="str">
        <f t="shared" si="10"/>
        <v>FIFH Malmo</v>
      </c>
      <c r="J61" s="2" t="str" cm="1">
        <f t="array" ref="J61">TRIM(RIGHT(E61,LEN(E61)-LOOKUP(2,1/(MID(E61,ROW($1:$60),1)=" "),ROW($1:$60))))</f>
        <v>9-4</v>
      </c>
      <c r="K61" s="2">
        <f t="shared" si="11"/>
        <v>9</v>
      </c>
      <c r="L61" s="2">
        <f t="shared" si="12"/>
        <v>4</v>
      </c>
      <c r="M61" s="26">
        <f t="shared" si="6"/>
        <v>1</v>
      </c>
      <c r="N61" s="3" t="s">
        <v>0</v>
      </c>
      <c r="O61" s="3" t="s">
        <v>9</v>
      </c>
      <c r="P61" s="3" t="s">
        <v>3</v>
      </c>
      <c r="Q61" s="10">
        <f>IF(OR(O61="",P61=""),"",SUMIFS('1. Points System'!$E$3:$E$24,'1. Points System'!$C$3:$C$24,O61,'1. Points System'!$D$3:$D$24,P61))</f>
        <v>3</v>
      </c>
      <c r="R61" s="21"/>
      <c r="S61" s="6">
        <f t="shared" ref="S61:S92" si="16">Q61</f>
        <v>3</v>
      </c>
      <c r="T61" s="20">
        <f t="shared" ref="T61:T92" si="17">S61/2</f>
        <v>1.5</v>
      </c>
      <c r="U61" s="42">
        <f>MasterDataTbl[[#This Row],[2026 Total Points]]+(MasterDataTbl[[#This Row],[Goal Difference]]/1000)</f>
        <v>3.0049999999999999</v>
      </c>
    </row>
    <row r="62" spans="1:21" x14ac:dyDescent="0.25">
      <c r="A62" s="41" t="s">
        <v>161</v>
      </c>
      <c r="B62" s="17" t="s">
        <v>162</v>
      </c>
      <c r="C62" s="3" t="s">
        <v>99</v>
      </c>
      <c r="D62" s="4" t="s">
        <v>163</v>
      </c>
      <c r="E62" s="3" t="s">
        <v>207</v>
      </c>
      <c r="F62" s="27">
        <f t="shared" si="0"/>
        <v>4</v>
      </c>
      <c r="G62" s="26">
        <f t="shared" si="1"/>
        <v>9</v>
      </c>
      <c r="H62" s="25">
        <f t="shared" si="15"/>
        <v>-5</v>
      </c>
      <c r="I62" s="13" t="str">
        <f t="shared" si="10"/>
        <v>FIFH Malmo</v>
      </c>
      <c r="J62" s="2" t="str" cm="1">
        <f t="array" ref="J62">TRIM(RIGHT(E62,LEN(E62)-LOOKUP(2,1/(MID(E62,ROW($1:$60),1)=" "),ROW($1:$60))))</f>
        <v>9-4</v>
      </c>
      <c r="K62" s="2">
        <f t="shared" si="11"/>
        <v>9</v>
      </c>
      <c r="L62" s="2">
        <f t="shared" si="12"/>
        <v>4</v>
      </c>
      <c r="M62" s="26">
        <f t="shared" ref="M62:M75" si="18">IF(OR(O62="",ISNUMBER(IFERROR(SEARCH("special",O62),""))),0,1)</f>
        <v>1</v>
      </c>
      <c r="N62" s="3" t="s">
        <v>0</v>
      </c>
      <c r="O62" s="3" t="s">
        <v>9</v>
      </c>
      <c r="P62" s="3" t="s">
        <v>4</v>
      </c>
      <c r="Q62" s="10">
        <f>IF(OR(O62="",P62=""),"",SUMIFS('1. Points System'!$E$3:$E$24,'1. Points System'!$C$3:$C$24,O62,'1. Points System'!$D$3:$D$24,P62))</f>
        <v>0</v>
      </c>
      <c r="R62" s="21"/>
      <c r="S62" s="6">
        <f t="shared" si="16"/>
        <v>0</v>
      </c>
      <c r="T62" s="20">
        <f t="shared" si="17"/>
        <v>0</v>
      </c>
      <c r="U62" s="42">
        <f>MasterDataTbl[[#This Row],[2026 Total Points]]+(MasterDataTbl[[#This Row],[Goal Difference]]/1000)</f>
        <v>-5.0000000000000001E-3</v>
      </c>
    </row>
    <row r="63" spans="1:21" x14ac:dyDescent="0.25">
      <c r="A63" s="41" t="s">
        <v>161</v>
      </c>
      <c r="B63" s="17" t="s">
        <v>162</v>
      </c>
      <c r="C63" s="3" t="s">
        <v>97</v>
      </c>
      <c r="D63" s="3" t="s">
        <v>164</v>
      </c>
      <c r="E63" s="3" t="s">
        <v>189</v>
      </c>
      <c r="F63" s="27">
        <f t="shared" si="0"/>
        <v>3</v>
      </c>
      <c r="G63" s="26">
        <f t="shared" si="1"/>
        <v>5</v>
      </c>
      <c r="H63" s="25">
        <f t="shared" si="15"/>
        <v>-2</v>
      </c>
      <c r="I63" s="13" t="str">
        <f t="shared" si="10"/>
        <v>Kahramanmaras</v>
      </c>
      <c r="J63" s="2" t="str" cm="1">
        <f t="array" ref="J63">TRIM(RIGHT(E63,LEN(E63)-LOOKUP(2,1/(MID(E63,ROW($1:$60),1)=" "),ROW($1:$60))))</f>
        <v>3-5</v>
      </c>
      <c r="K63" s="2">
        <f t="shared" si="11"/>
        <v>3</v>
      </c>
      <c r="L63" s="2">
        <f t="shared" si="12"/>
        <v>5</v>
      </c>
      <c r="M63" s="26">
        <f t="shared" si="18"/>
        <v>1</v>
      </c>
      <c r="N63" s="3" t="s">
        <v>0</v>
      </c>
      <c r="O63" s="3" t="s">
        <v>9</v>
      </c>
      <c r="P63" s="3" t="s">
        <v>4</v>
      </c>
      <c r="Q63" s="10">
        <f>IF(OR(O63="",P63=""),"",SUMIFS('1. Points System'!$E$3:$E$24,'1. Points System'!$C$3:$C$24,O63,'1. Points System'!$D$3:$D$24,P63))</f>
        <v>0</v>
      </c>
      <c r="R63" s="21"/>
      <c r="S63" s="6">
        <f t="shared" si="16"/>
        <v>0</v>
      </c>
      <c r="T63" s="20">
        <f t="shared" si="17"/>
        <v>0</v>
      </c>
      <c r="U63" s="42">
        <f>MasterDataTbl[[#This Row],[2026 Total Points]]+(MasterDataTbl[[#This Row],[Goal Difference]]/1000)</f>
        <v>-2E-3</v>
      </c>
    </row>
    <row r="64" spans="1:21" x14ac:dyDescent="0.25">
      <c r="A64" s="41" t="s">
        <v>161</v>
      </c>
      <c r="B64" s="17" t="s">
        <v>162</v>
      </c>
      <c r="C64" s="3" t="s">
        <v>50</v>
      </c>
      <c r="D64" s="3" t="s">
        <v>164</v>
      </c>
      <c r="E64" s="3" t="s">
        <v>189</v>
      </c>
      <c r="F64" s="27">
        <f t="shared" si="0"/>
        <v>5</v>
      </c>
      <c r="G64" s="26">
        <f t="shared" si="1"/>
        <v>3</v>
      </c>
      <c r="H64" s="25">
        <f t="shared" si="15"/>
        <v>2</v>
      </c>
      <c r="I64" s="13" t="str">
        <f t="shared" si="10"/>
        <v>Kahramanmaras</v>
      </c>
      <c r="J64" s="2" t="str" cm="1">
        <f t="array" ref="J64">TRIM(RIGHT(E64,LEN(E64)-LOOKUP(2,1/(MID(E64,ROW($1:$60),1)=" "),ROW($1:$60))))</f>
        <v>3-5</v>
      </c>
      <c r="K64" s="2">
        <f t="shared" si="11"/>
        <v>3</v>
      </c>
      <c r="L64" s="2">
        <f t="shared" si="12"/>
        <v>5</v>
      </c>
      <c r="M64" s="26">
        <f t="shared" si="18"/>
        <v>1</v>
      </c>
      <c r="N64" s="3" t="s">
        <v>0</v>
      </c>
      <c r="O64" s="3" t="s">
        <v>9</v>
      </c>
      <c r="P64" s="3" t="s">
        <v>3</v>
      </c>
      <c r="Q64" s="10">
        <f>IF(OR(O64="",P64=""),"",SUMIFS('1. Points System'!$E$3:$E$24,'1. Points System'!$C$3:$C$24,O64,'1. Points System'!$D$3:$D$24,P64))</f>
        <v>3</v>
      </c>
      <c r="R64" s="21"/>
      <c r="S64" s="6">
        <f t="shared" si="16"/>
        <v>3</v>
      </c>
      <c r="T64" s="20">
        <f t="shared" si="17"/>
        <v>1.5</v>
      </c>
      <c r="U64" s="42">
        <f>MasterDataTbl[[#This Row],[2026 Total Points]]+(MasterDataTbl[[#This Row],[Goal Difference]]/1000)</f>
        <v>3.0019999999999998</v>
      </c>
    </row>
    <row r="65" spans="1:21" x14ac:dyDescent="0.25">
      <c r="A65" s="41" t="s">
        <v>161</v>
      </c>
      <c r="B65" s="17" t="s">
        <v>162</v>
      </c>
      <c r="C65" s="3" t="s">
        <v>53</v>
      </c>
      <c r="D65" s="3" t="s">
        <v>165</v>
      </c>
      <c r="E65" s="3" t="s">
        <v>187</v>
      </c>
      <c r="F65" s="27">
        <f t="shared" si="0"/>
        <v>6</v>
      </c>
      <c r="G65" s="26">
        <f t="shared" si="1"/>
        <v>8</v>
      </c>
      <c r="H65" s="25">
        <f t="shared" si="15"/>
        <v>-2</v>
      </c>
      <c r="I65" s="13" t="str">
        <f t="shared" si="10"/>
        <v>Füchse Berlin</v>
      </c>
      <c r="J65" s="2" t="str" cm="1">
        <f t="array" ref="J65">TRIM(RIGHT(E65,LEN(E65)-LOOKUP(2,1/(MID(E65,ROW($1:$60),1)=" "),ROW($1:$60))))</f>
        <v>6-8</v>
      </c>
      <c r="K65" s="2">
        <f t="shared" si="11"/>
        <v>6</v>
      </c>
      <c r="L65" s="2">
        <f t="shared" si="12"/>
        <v>8</v>
      </c>
      <c r="M65" s="26">
        <f t="shared" si="18"/>
        <v>1</v>
      </c>
      <c r="N65" s="3" t="s">
        <v>0</v>
      </c>
      <c r="O65" s="3" t="s">
        <v>9</v>
      </c>
      <c r="P65" s="3" t="s">
        <v>4</v>
      </c>
      <c r="Q65" s="10">
        <f>IF(OR(O65="",P65=""),"",SUMIFS('1. Points System'!$E$3:$E$24,'1. Points System'!$C$3:$C$24,O65,'1. Points System'!$D$3:$D$24,P65))</f>
        <v>0</v>
      </c>
      <c r="R65" s="21"/>
      <c r="S65" s="6">
        <f t="shared" si="16"/>
        <v>0</v>
      </c>
      <c r="T65" s="20">
        <f t="shared" si="17"/>
        <v>0</v>
      </c>
      <c r="U65" s="42">
        <f>MasterDataTbl[[#This Row],[2026 Total Points]]+(MasterDataTbl[[#This Row],[Goal Difference]]/1000)</f>
        <v>-2E-3</v>
      </c>
    </row>
    <row r="66" spans="1:21" x14ac:dyDescent="0.25">
      <c r="A66" s="41" t="s">
        <v>161</v>
      </c>
      <c r="B66" s="17" t="s">
        <v>162</v>
      </c>
      <c r="C66" s="3" t="s">
        <v>205</v>
      </c>
      <c r="D66" s="3" t="s">
        <v>165</v>
      </c>
      <c r="E66" s="3" t="s">
        <v>187</v>
      </c>
      <c r="F66" s="27">
        <f t="shared" si="0"/>
        <v>8</v>
      </c>
      <c r="G66" s="26">
        <f t="shared" si="1"/>
        <v>6</v>
      </c>
      <c r="H66" s="25">
        <f t="shared" si="15"/>
        <v>2</v>
      </c>
      <c r="I66" s="13" t="str">
        <f t="shared" si="10"/>
        <v>Füchse Berlin</v>
      </c>
      <c r="J66" s="2" t="str" cm="1">
        <f t="array" ref="J66">TRIM(RIGHT(E66,LEN(E66)-LOOKUP(2,1/(MID(E66,ROW($1:$60),1)=" "),ROW($1:$60))))</f>
        <v>6-8</v>
      </c>
      <c r="K66" s="2">
        <f t="shared" si="11"/>
        <v>6</v>
      </c>
      <c r="L66" s="2">
        <f t="shared" si="12"/>
        <v>8</v>
      </c>
      <c r="M66" s="26">
        <f t="shared" si="18"/>
        <v>1</v>
      </c>
      <c r="N66" s="3" t="s">
        <v>0</v>
      </c>
      <c r="O66" s="3" t="s">
        <v>9</v>
      </c>
      <c r="P66" s="3" t="s">
        <v>3</v>
      </c>
      <c r="Q66" s="10">
        <f>IF(OR(O66="",P66=""),"",SUMIFS('1. Points System'!$E$3:$E$24,'1. Points System'!$C$3:$C$24,O66,'1. Points System'!$D$3:$D$24,P66))</f>
        <v>3</v>
      </c>
      <c r="R66" s="21"/>
      <c r="S66" s="6">
        <f t="shared" si="16"/>
        <v>3</v>
      </c>
      <c r="T66" s="20">
        <f t="shared" si="17"/>
        <v>1.5</v>
      </c>
      <c r="U66" s="42">
        <f>MasterDataTbl[[#This Row],[2026 Total Points]]+(MasterDataTbl[[#This Row],[Goal Difference]]/1000)</f>
        <v>3.0019999999999998</v>
      </c>
    </row>
    <row r="67" spans="1:21" x14ac:dyDescent="0.25">
      <c r="A67" s="41" t="s">
        <v>161</v>
      </c>
      <c r="B67" s="17" t="s">
        <v>162</v>
      </c>
      <c r="C67" s="3" t="s">
        <v>23</v>
      </c>
      <c r="D67" s="3" t="s">
        <v>166</v>
      </c>
      <c r="E67" s="3" t="s">
        <v>188</v>
      </c>
      <c r="F67" s="27">
        <f t="shared" ref="F67:F75" si="19">IF($I67="","",IF(TRIM(SUBSTITUTE($C67,CHAR(160)," "))=TRIM(SUBSTITUTE($I67,CHAR(160)," ")),$K67,$L67))</f>
        <v>8</v>
      </c>
      <c r="G67" s="26">
        <f t="shared" ref="G67:G75" si="20">IF($I67="","",IF(TRIM(SUBSTITUTE($C67,CHAR(160)," "))=TRIM(SUBSTITUTE($I67,CHAR(160)," ")),$L67,$K67))</f>
        <v>5</v>
      </c>
      <c r="H67" s="25">
        <f t="shared" si="15"/>
        <v>3</v>
      </c>
      <c r="I67" s="13" t="str">
        <f t="shared" si="10"/>
        <v>Old Power</v>
      </c>
      <c r="J67" s="2" t="str" cm="1">
        <f t="array" ref="J67">TRIM(RIGHT(E67,LEN(E67)-LOOKUP(2,1/(MID(E67,ROW($1:$60),1)=" "),ROW($1:$60))))</f>
        <v>8-5</v>
      </c>
      <c r="K67" s="2">
        <f t="shared" si="11"/>
        <v>8</v>
      </c>
      <c r="L67" s="2">
        <f t="shared" si="12"/>
        <v>5</v>
      </c>
      <c r="M67" s="26">
        <f t="shared" si="18"/>
        <v>1</v>
      </c>
      <c r="N67" s="3" t="s">
        <v>0</v>
      </c>
      <c r="O67" s="3" t="s">
        <v>9</v>
      </c>
      <c r="P67" s="3" t="s">
        <v>3</v>
      </c>
      <c r="Q67" s="10">
        <f>IF(OR(O67="",P67=""),"",SUMIFS('1. Points System'!$E$3:$E$24,'1. Points System'!$C$3:$C$24,O67,'1. Points System'!$D$3:$D$24,P67))</f>
        <v>3</v>
      </c>
      <c r="R67" s="21"/>
      <c r="S67" s="6">
        <f t="shared" si="16"/>
        <v>3</v>
      </c>
      <c r="T67" s="20">
        <f t="shared" si="17"/>
        <v>1.5</v>
      </c>
      <c r="U67" s="42">
        <f>MasterDataTbl[[#This Row],[2026 Total Points]]+(MasterDataTbl[[#This Row],[Goal Difference]]/1000)</f>
        <v>3.0030000000000001</v>
      </c>
    </row>
    <row r="68" spans="1:21" x14ac:dyDescent="0.25">
      <c r="A68" s="41" t="s">
        <v>161</v>
      </c>
      <c r="B68" s="17" t="s">
        <v>162</v>
      </c>
      <c r="C68" s="3" t="s">
        <v>100</v>
      </c>
      <c r="D68" s="3" t="s">
        <v>166</v>
      </c>
      <c r="E68" s="3" t="s">
        <v>188</v>
      </c>
      <c r="F68" s="27">
        <f t="shared" si="19"/>
        <v>5</v>
      </c>
      <c r="G68" s="26">
        <f t="shared" si="20"/>
        <v>8</v>
      </c>
      <c r="H68" s="25">
        <f t="shared" si="15"/>
        <v>-3</v>
      </c>
      <c r="I68" s="13" t="str">
        <f t="shared" si="10"/>
        <v>Old Power</v>
      </c>
      <c r="J68" s="2" t="str" cm="1">
        <f t="array" ref="J68">TRIM(RIGHT(E68,LEN(E68)-LOOKUP(2,1/(MID(E68,ROW($1:$60),1)=" "),ROW($1:$60))))</f>
        <v>8-5</v>
      </c>
      <c r="K68" s="2">
        <f t="shared" si="11"/>
        <v>8</v>
      </c>
      <c r="L68" s="2">
        <f t="shared" si="12"/>
        <v>5</v>
      </c>
      <c r="M68" s="26">
        <f t="shared" si="18"/>
        <v>1</v>
      </c>
      <c r="N68" s="3" t="s">
        <v>0</v>
      </c>
      <c r="O68" s="3" t="s">
        <v>9</v>
      </c>
      <c r="P68" s="3" t="s">
        <v>4</v>
      </c>
      <c r="Q68" s="10">
        <f>IF(OR(O68="",P68=""),"",SUMIFS('1. Points System'!$E$3:$E$24,'1. Points System'!$C$3:$C$24,O68,'1. Points System'!$D$3:$D$24,P68))</f>
        <v>0</v>
      </c>
      <c r="R68" s="21"/>
      <c r="S68" s="6">
        <f t="shared" si="16"/>
        <v>0</v>
      </c>
      <c r="T68" s="20">
        <f t="shared" si="17"/>
        <v>0</v>
      </c>
      <c r="U68" s="42">
        <f>MasterDataTbl[[#This Row],[2026 Total Points]]+(MasterDataTbl[[#This Row],[Goal Difference]]/1000)</f>
        <v>-3.0000000000000001E-3</v>
      </c>
    </row>
    <row r="69" spans="1:21" x14ac:dyDescent="0.25">
      <c r="A69" s="41" t="s">
        <v>161</v>
      </c>
      <c r="B69" s="17" t="s">
        <v>162</v>
      </c>
      <c r="C69" s="3" t="s">
        <v>50</v>
      </c>
      <c r="D69" s="3" t="s">
        <v>167</v>
      </c>
      <c r="E69" s="3" t="s">
        <v>190</v>
      </c>
      <c r="F69" s="27">
        <f t="shared" si="19"/>
        <v>7</v>
      </c>
      <c r="G69" s="26">
        <f t="shared" si="20"/>
        <v>4</v>
      </c>
      <c r="H69" s="25">
        <f t="shared" si="15"/>
        <v>3</v>
      </c>
      <c r="I69" s="13" t="str">
        <f t="shared" si="10"/>
        <v>RGC Hansa</v>
      </c>
      <c r="J69" s="2" t="str" cm="1">
        <f t="array" ref="J69">TRIM(RIGHT(E69,LEN(E69)-LOOKUP(2,1/(MID(E69,ROW($1:$60),1)=" "),ROW($1:$60))))</f>
        <v>7-4</v>
      </c>
      <c r="K69" s="2">
        <f t="shared" si="11"/>
        <v>7</v>
      </c>
      <c r="L69" s="2">
        <f t="shared" si="12"/>
        <v>4</v>
      </c>
      <c r="M69" s="26">
        <f t="shared" si="18"/>
        <v>1</v>
      </c>
      <c r="N69" s="3" t="s">
        <v>0</v>
      </c>
      <c r="O69" s="3" t="s">
        <v>9</v>
      </c>
      <c r="P69" s="3" t="s">
        <v>3</v>
      </c>
      <c r="Q69" s="10">
        <f>IF(OR(O69="",P69=""),"",SUMIFS('1. Points System'!$E$3:$E$24,'1. Points System'!$C$3:$C$24,O69,'1. Points System'!$D$3:$D$24,P69))</f>
        <v>3</v>
      </c>
      <c r="R69" s="21"/>
      <c r="S69" s="6">
        <f t="shared" si="16"/>
        <v>3</v>
      </c>
      <c r="T69" s="20">
        <f t="shared" si="17"/>
        <v>1.5</v>
      </c>
      <c r="U69" s="42">
        <f>MasterDataTbl[[#This Row],[2026 Total Points]]+(MasterDataTbl[[#This Row],[Goal Difference]]/1000)</f>
        <v>3.0030000000000001</v>
      </c>
    </row>
    <row r="70" spans="1:21" x14ac:dyDescent="0.25">
      <c r="A70" s="41" t="s">
        <v>161</v>
      </c>
      <c r="B70" s="17" t="s">
        <v>162</v>
      </c>
      <c r="C70" s="3" t="s">
        <v>98</v>
      </c>
      <c r="D70" s="3" t="s">
        <v>167</v>
      </c>
      <c r="E70" s="3" t="s">
        <v>190</v>
      </c>
      <c r="F70" s="27">
        <f t="shared" si="19"/>
        <v>4</v>
      </c>
      <c r="G70" s="26">
        <f t="shared" si="20"/>
        <v>7</v>
      </c>
      <c r="H70" s="25">
        <f t="shared" ref="H70:H75" si="21">F70-G70</f>
        <v>-3</v>
      </c>
      <c r="I70" s="13" t="str">
        <f t="shared" si="10"/>
        <v>RGC Hansa</v>
      </c>
      <c r="J70" s="2" t="str" cm="1">
        <f t="array" ref="J70">TRIM(RIGHT(E70,LEN(E70)-LOOKUP(2,1/(MID(E70,ROW($1:$60),1)=" "),ROW($1:$60))))</f>
        <v>7-4</v>
      </c>
      <c r="K70" s="2">
        <f t="shared" si="11"/>
        <v>7</v>
      </c>
      <c r="L70" s="2">
        <f t="shared" si="12"/>
        <v>4</v>
      </c>
      <c r="M70" s="26">
        <f t="shared" si="18"/>
        <v>1</v>
      </c>
      <c r="N70" s="3" t="s">
        <v>0</v>
      </c>
      <c r="O70" s="3" t="s">
        <v>9</v>
      </c>
      <c r="P70" s="3" t="s">
        <v>4</v>
      </c>
      <c r="Q70" s="10">
        <f>IF(OR(O70="",P70=""),"",SUMIFS('1. Points System'!$E$3:$E$24,'1. Points System'!$C$3:$C$24,O70,'1. Points System'!$D$3:$D$24,P70))</f>
        <v>0</v>
      </c>
      <c r="R70" s="21"/>
      <c r="S70" s="6">
        <f t="shared" si="16"/>
        <v>0</v>
      </c>
      <c r="T70" s="20">
        <f t="shared" si="17"/>
        <v>0</v>
      </c>
      <c r="U70" s="42">
        <f>MasterDataTbl[[#This Row],[2026 Total Points]]+(MasterDataTbl[[#This Row],[Goal Difference]]/1000)</f>
        <v>-3.0000000000000001E-3</v>
      </c>
    </row>
    <row r="71" spans="1:21" x14ac:dyDescent="0.25">
      <c r="A71" s="41" t="s">
        <v>161</v>
      </c>
      <c r="B71" s="17" t="s">
        <v>162</v>
      </c>
      <c r="C71" s="3" t="s">
        <v>99</v>
      </c>
      <c r="D71" s="3" t="s">
        <v>168</v>
      </c>
      <c r="E71" s="3" t="s">
        <v>208</v>
      </c>
      <c r="F71" s="27">
        <f t="shared" si="19"/>
        <v>2</v>
      </c>
      <c r="G71" s="26">
        <f t="shared" si="20"/>
        <v>7</v>
      </c>
      <c r="H71" s="25">
        <f t="shared" si="21"/>
        <v>-5</v>
      </c>
      <c r="I71" s="3" t="s">
        <v>99</v>
      </c>
      <c r="J71" s="2" t="str" cm="1">
        <f t="array" ref="J71">TRIM(RIGHT(E71,LEN(E71)-LOOKUP(2,1/(MID(E71,ROW($1:$60),1)=" "),ROW($1:$60))))</f>
        <v>2-7</v>
      </c>
      <c r="K71" s="2">
        <f t="shared" si="11"/>
        <v>2</v>
      </c>
      <c r="L71" s="2">
        <f t="shared" si="12"/>
        <v>7</v>
      </c>
      <c r="M71" s="26">
        <f t="shared" si="18"/>
        <v>1</v>
      </c>
      <c r="N71" s="3" t="s">
        <v>0</v>
      </c>
      <c r="O71" s="3" t="s">
        <v>9</v>
      </c>
      <c r="P71" s="3" t="s">
        <v>4</v>
      </c>
      <c r="Q71" s="10">
        <f>IF(OR(O71="",P71=""),"",SUMIFS('1. Points System'!$E$3:$E$24,'1. Points System'!$C$3:$C$24,O71,'1. Points System'!$D$3:$D$24,P71))</f>
        <v>0</v>
      </c>
      <c r="R71" s="21"/>
      <c r="S71" s="6">
        <f t="shared" si="16"/>
        <v>0</v>
      </c>
      <c r="T71" s="20">
        <f t="shared" si="17"/>
        <v>0</v>
      </c>
      <c r="U71" s="42">
        <f>MasterDataTbl[[#This Row],[2026 Total Points]]+(MasterDataTbl[[#This Row],[Goal Difference]]/1000)</f>
        <v>-5.0000000000000001E-3</v>
      </c>
    </row>
    <row r="72" spans="1:21" x14ac:dyDescent="0.25">
      <c r="A72" s="41" t="s">
        <v>161</v>
      </c>
      <c r="B72" s="17" t="s">
        <v>162</v>
      </c>
      <c r="C72" s="3" t="s">
        <v>97</v>
      </c>
      <c r="D72" s="3" t="s">
        <v>168</v>
      </c>
      <c r="E72" s="3" t="s">
        <v>208</v>
      </c>
      <c r="F72" s="27">
        <f t="shared" si="19"/>
        <v>7</v>
      </c>
      <c r="G72" s="26">
        <f t="shared" si="20"/>
        <v>2</v>
      </c>
      <c r="H72" s="25">
        <f t="shared" si="21"/>
        <v>5</v>
      </c>
      <c r="I72" s="3" t="s">
        <v>99</v>
      </c>
      <c r="J72" s="2" t="str" cm="1">
        <f t="array" ref="J72">TRIM(RIGHT(E72,LEN(E72)-LOOKUP(2,1/(MID(E72,ROW($1:$60),1)=" "),ROW($1:$60))))</f>
        <v>2-7</v>
      </c>
      <c r="K72" s="2">
        <f t="shared" si="11"/>
        <v>2</v>
      </c>
      <c r="L72" s="2">
        <f t="shared" si="12"/>
        <v>7</v>
      </c>
      <c r="M72" s="26">
        <f t="shared" si="18"/>
        <v>1</v>
      </c>
      <c r="N72" s="3" t="s">
        <v>0</v>
      </c>
      <c r="O72" s="3" t="s">
        <v>9</v>
      </c>
      <c r="P72" s="3" t="s">
        <v>3</v>
      </c>
      <c r="Q72" s="10">
        <f>IF(OR(O72="",P72=""),"",SUMIFS('1. Points System'!$E$3:$E$24,'1. Points System'!$C$3:$C$24,O72,'1. Points System'!$D$3:$D$24,P72))</f>
        <v>3</v>
      </c>
      <c r="R72" s="21"/>
      <c r="S72" s="6">
        <f t="shared" si="16"/>
        <v>3</v>
      </c>
      <c r="T72" s="20">
        <f t="shared" si="17"/>
        <v>1.5</v>
      </c>
      <c r="U72" s="42">
        <f>MasterDataTbl[[#This Row],[2026 Total Points]]+(MasterDataTbl[[#This Row],[Goal Difference]]/1000)</f>
        <v>3.0049999999999999</v>
      </c>
    </row>
    <row r="73" spans="1:21" x14ac:dyDescent="0.25">
      <c r="A73" s="41" t="s">
        <v>161</v>
      </c>
      <c r="B73" s="17" t="s">
        <v>162</v>
      </c>
      <c r="C73" s="3" t="s">
        <v>100</v>
      </c>
      <c r="D73" s="4" t="s">
        <v>169</v>
      </c>
      <c r="E73" s="3" t="s">
        <v>191</v>
      </c>
      <c r="F73" s="27">
        <f t="shared" si="19"/>
        <v>8</v>
      </c>
      <c r="G73" s="26">
        <f t="shared" si="20"/>
        <v>3</v>
      </c>
      <c r="H73" s="25">
        <f t="shared" si="21"/>
        <v>5</v>
      </c>
      <c r="I73" s="13" t="str">
        <f t="shared" si="10"/>
        <v>USV Hercules</v>
      </c>
      <c r="J73" s="2" t="str" cm="1">
        <f t="array" ref="J73">TRIM(RIGHT(E73,LEN(E73)-LOOKUP(2,1/(MID(E73,ROW($1:$60),1)=" "),ROW($1:$60))))</f>
        <v>8-3</v>
      </c>
      <c r="K73" s="2">
        <f t="shared" si="11"/>
        <v>8</v>
      </c>
      <c r="L73" s="2">
        <f t="shared" si="12"/>
        <v>3</v>
      </c>
      <c r="M73" s="26">
        <f t="shared" si="18"/>
        <v>1</v>
      </c>
      <c r="N73" s="3" t="s">
        <v>0</v>
      </c>
      <c r="O73" s="3" t="s">
        <v>9</v>
      </c>
      <c r="P73" s="3" t="s">
        <v>3</v>
      </c>
      <c r="Q73" s="10">
        <f>IF(OR(O73="",P73=""),"",SUMIFS('1. Points System'!$E$3:$E$24,'1. Points System'!$C$3:$C$24,O73,'1. Points System'!$D$3:$D$24,P73))</f>
        <v>3</v>
      </c>
      <c r="R73" s="21"/>
      <c r="S73" s="6">
        <f t="shared" si="16"/>
        <v>3</v>
      </c>
      <c r="T73" s="20">
        <f t="shared" si="17"/>
        <v>1.5</v>
      </c>
      <c r="U73" s="42">
        <f>MasterDataTbl[[#This Row],[2026 Total Points]]+(MasterDataTbl[[#This Row],[Goal Difference]]/1000)</f>
        <v>3.0049999999999999</v>
      </c>
    </row>
    <row r="74" spans="1:21" x14ac:dyDescent="0.25">
      <c r="A74" s="41" t="s">
        <v>161</v>
      </c>
      <c r="B74" s="17" t="s">
        <v>162</v>
      </c>
      <c r="C74" s="3" t="s">
        <v>53</v>
      </c>
      <c r="D74" s="3" t="s">
        <v>169</v>
      </c>
      <c r="E74" s="3" t="s">
        <v>191</v>
      </c>
      <c r="F74" s="27">
        <f t="shared" si="19"/>
        <v>3</v>
      </c>
      <c r="G74" s="26">
        <f t="shared" si="20"/>
        <v>8</v>
      </c>
      <c r="H74" s="25">
        <f t="shared" si="21"/>
        <v>-5</v>
      </c>
      <c r="I74" s="13" t="str">
        <f t="shared" si="10"/>
        <v>USV Hercules</v>
      </c>
      <c r="J74" s="2" t="str" cm="1">
        <f t="array" ref="J74">TRIM(RIGHT(E74,LEN(E74)-LOOKUP(2,1/(MID(E74,ROW($1:$60),1)=" "),ROW($1:$60))))</f>
        <v>8-3</v>
      </c>
      <c r="K74" s="2">
        <f t="shared" si="11"/>
        <v>8</v>
      </c>
      <c r="L74" s="2">
        <f t="shared" si="12"/>
        <v>3</v>
      </c>
      <c r="M74" s="26">
        <f t="shared" si="18"/>
        <v>1</v>
      </c>
      <c r="N74" s="3" t="s">
        <v>0</v>
      </c>
      <c r="O74" s="3" t="s">
        <v>9</v>
      </c>
      <c r="P74" s="3" t="s">
        <v>4</v>
      </c>
      <c r="Q74" s="10">
        <f>IF(OR(O74="",P74=""),"",SUMIFS('1. Points System'!$E$3:$E$24,'1. Points System'!$C$3:$C$24,O74,'1. Points System'!$D$3:$D$24,P74))</f>
        <v>0</v>
      </c>
      <c r="R74" s="21"/>
      <c r="S74" s="6">
        <f t="shared" si="16"/>
        <v>0</v>
      </c>
      <c r="T74" s="20">
        <f t="shared" si="17"/>
        <v>0</v>
      </c>
      <c r="U74" s="42">
        <f>MasterDataTbl[[#This Row],[2026 Total Points]]+(MasterDataTbl[[#This Row],[Goal Difference]]/1000)</f>
        <v>-5.0000000000000001E-3</v>
      </c>
    </row>
    <row r="75" spans="1:21" x14ac:dyDescent="0.25">
      <c r="A75" s="41" t="s">
        <v>161</v>
      </c>
      <c r="B75" s="17" t="s">
        <v>162</v>
      </c>
      <c r="C75" s="3" t="s">
        <v>205</v>
      </c>
      <c r="D75" s="3" t="s">
        <v>170</v>
      </c>
      <c r="E75" s="3" t="s">
        <v>192</v>
      </c>
      <c r="F75" s="27">
        <f t="shared" si="19"/>
        <v>5</v>
      </c>
      <c r="G75" s="26">
        <f t="shared" si="20"/>
        <v>10</v>
      </c>
      <c r="H75" s="25">
        <f t="shared" si="21"/>
        <v>-5</v>
      </c>
      <c r="I75" s="13" t="str">
        <f t="shared" si="10"/>
        <v>Isparta</v>
      </c>
      <c r="J75" s="2" t="str" cm="1">
        <f t="array" ref="J75">TRIM(RIGHT(E75,LEN(E75)-LOOKUP(2,1/(MID(E75,ROW($1:$60),1)=" "),ROW($1:$60))))</f>
        <v>5-10</v>
      </c>
      <c r="K75" s="2">
        <f t="shared" si="11"/>
        <v>5</v>
      </c>
      <c r="L75" s="2">
        <f t="shared" si="12"/>
        <v>10</v>
      </c>
      <c r="M75" s="26">
        <f t="shared" si="18"/>
        <v>1</v>
      </c>
      <c r="N75" s="3" t="s">
        <v>0</v>
      </c>
      <c r="O75" s="3" t="s">
        <v>9</v>
      </c>
      <c r="P75" s="3" t="s">
        <v>4</v>
      </c>
      <c r="Q75" s="10">
        <f>IF(OR(O75="",P75=""),"",SUMIFS('1. Points System'!$E$3:$E$24,'1. Points System'!$C$3:$C$24,O75,'1. Points System'!$D$3:$D$24,P75))</f>
        <v>0</v>
      </c>
      <c r="R75" s="21"/>
      <c r="S75" s="6">
        <f t="shared" si="16"/>
        <v>0</v>
      </c>
      <c r="T75" s="20">
        <f t="shared" si="17"/>
        <v>0</v>
      </c>
      <c r="U75" s="42">
        <f>MasterDataTbl[[#This Row],[2026 Total Points]]+(MasterDataTbl[[#This Row],[Goal Difference]]/1000)</f>
        <v>-5.0000000000000001E-3</v>
      </c>
    </row>
    <row r="76" spans="1:21" x14ac:dyDescent="0.25">
      <c r="A76" s="41" t="s">
        <v>161</v>
      </c>
      <c r="B76" s="17" t="s">
        <v>162</v>
      </c>
      <c r="C76" s="3" t="s">
        <v>23</v>
      </c>
      <c r="D76" s="3" t="s">
        <v>170</v>
      </c>
      <c r="E76" s="3" t="s">
        <v>192</v>
      </c>
      <c r="F76" s="26">
        <f t="shared" ref="F67:F130" si="22">IF($I76="","",IF(TRIM(SUBSTITUTE($C76,CHAR(160)," "))=TRIM(SUBSTITUTE($I76,CHAR(160)," ")),$K76,$L76))</f>
        <v>10</v>
      </c>
      <c r="G76" s="26">
        <f t="shared" ref="G67:G130" si="23">IF($I76="","",IF(TRIM(SUBSTITUTE($C76,CHAR(160)," "))=TRIM(SUBSTITUTE($I76,CHAR(160)," ")),$L76,$K76))</f>
        <v>5</v>
      </c>
      <c r="H76" s="25">
        <f t="shared" ref="H76:H100" si="24">F76-G76</f>
        <v>5</v>
      </c>
      <c r="I76" s="13" t="str">
        <f t="shared" si="10"/>
        <v>Isparta</v>
      </c>
      <c r="J76" s="2" t="str" cm="1">
        <f t="array" ref="J76">TRIM(RIGHT(E76,LEN(E76)-LOOKUP(2,1/(MID(E76,ROW($1:$60),1)=" "),ROW($1:$60))))</f>
        <v>5-10</v>
      </c>
      <c r="K76" s="2">
        <f t="shared" si="11"/>
        <v>5</v>
      </c>
      <c r="L76" s="2">
        <f t="shared" si="12"/>
        <v>10</v>
      </c>
      <c r="M76" s="26">
        <f t="shared" ref="M76:M100" si="25">IF(OR(O76="",ISNUMBER(IFERROR(SEARCH("special",O76),""))),0,1)</f>
        <v>1</v>
      </c>
      <c r="N76" s="3" t="s">
        <v>0</v>
      </c>
      <c r="O76" s="3" t="s">
        <v>9</v>
      </c>
      <c r="P76" s="3" t="s">
        <v>3</v>
      </c>
      <c r="Q76" s="10">
        <f>IF(OR(O76="",P76=""),"",SUMIFS('1. Points System'!$E$3:$E$24,'1. Points System'!$C$3:$C$24,O76,'1. Points System'!$D$3:$D$24,P76))</f>
        <v>3</v>
      </c>
      <c r="R76" s="21"/>
      <c r="S76" s="6">
        <f t="shared" si="16"/>
        <v>3</v>
      </c>
      <c r="T76" s="20">
        <f t="shared" si="17"/>
        <v>1.5</v>
      </c>
      <c r="U76" s="42">
        <f>MasterDataTbl[[#This Row],[2026 Total Points]]+(MasterDataTbl[[#This Row],[Goal Difference]]/1000)</f>
        <v>3.0049999999999999</v>
      </c>
    </row>
    <row r="77" spans="1:21" x14ac:dyDescent="0.25">
      <c r="A77" s="41" t="s">
        <v>161</v>
      </c>
      <c r="B77" s="17" t="s">
        <v>162</v>
      </c>
      <c r="C77" s="3" t="s">
        <v>50</v>
      </c>
      <c r="D77" s="3" t="s">
        <v>171</v>
      </c>
      <c r="E77" s="3" t="s">
        <v>209</v>
      </c>
      <c r="F77" s="26">
        <f t="shared" si="22"/>
        <v>4</v>
      </c>
      <c r="G77" s="26">
        <f t="shared" si="23"/>
        <v>3</v>
      </c>
      <c r="H77" s="25">
        <f t="shared" si="24"/>
        <v>1</v>
      </c>
      <c r="I77" s="13" t="str">
        <f t="shared" si="10"/>
        <v>RGC Hansa</v>
      </c>
      <c r="J77" s="2" t="str" cm="1">
        <f t="array" ref="J77">TRIM(RIGHT(E77,LEN(E77)-LOOKUP(2,1/(MID(E77,ROW($1:$60),1)=" "),ROW($1:$60))))</f>
        <v>4-3</v>
      </c>
      <c r="K77" s="2">
        <f t="shared" si="11"/>
        <v>4</v>
      </c>
      <c r="L77" s="2">
        <f t="shared" si="12"/>
        <v>3</v>
      </c>
      <c r="M77" s="26">
        <f t="shared" si="25"/>
        <v>1</v>
      </c>
      <c r="N77" s="3" t="s">
        <v>0</v>
      </c>
      <c r="O77" s="3" t="s">
        <v>9</v>
      </c>
      <c r="P77" s="3" t="s">
        <v>3</v>
      </c>
      <c r="Q77" s="10">
        <f>IF(OR(O77="",P77=""),"",SUMIFS('1. Points System'!$E$3:$E$24,'1. Points System'!$C$3:$C$24,O77,'1. Points System'!$D$3:$D$24,P77))</f>
        <v>3</v>
      </c>
      <c r="R77" s="21"/>
      <c r="S77" s="6">
        <f t="shared" si="16"/>
        <v>3</v>
      </c>
      <c r="T77" s="20">
        <f t="shared" si="17"/>
        <v>1.5</v>
      </c>
      <c r="U77" s="42">
        <f>MasterDataTbl[[#This Row],[2026 Total Points]]+(MasterDataTbl[[#This Row],[Goal Difference]]/1000)</f>
        <v>3.0009999999999999</v>
      </c>
    </row>
    <row r="78" spans="1:21" x14ac:dyDescent="0.25">
      <c r="A78" s="41" t="s">
        <v>161</v>
      </c>
      <c r="B78" s="17" t="s">
        <v>162</v>
      </c>
      <c r="C78" s="3" t="s">
        <v>99</v>
      </c>
      <c r="D78" s="3" t="s">
        <v>171</v>
      </c>
      <c r="E78" s="3" t="s">
        <v>209</v>
      </c>
      <c r="F78" s="26">
        <f t="shared" si="22"/>
        <v>3</v>
      </c>
      <c r="G78" s="26">
        <f t="shared" si="23"/>
        <v>4</v>
      </c>
      <c r="H78" s="25">
        <f t="shared" si="24"/>
        <v>-1</v>
      </c>
      <c r="I78" s="13" t="str">
        <f t="shared" si="10"/>
        <v>RGC Hansa</v>
      </c>
      <c r="J78" s="2" t="str" cm="1">
        <f t="array" ref="J78">TRIM(RIGHT(E78,LEN(E78)-LOOKUP(2,1/(MID(E78,ROW($1:$60),1)=" "),ROW($1:$60))))</f>
        <v>4-3</v>
      </c>
      <c r="K78" s="2">
        <f t="shared" si="11"/>
        <v>4</v>
      </c>
      <c r="L78" s="2">
        <f t="shared" si="12"/>
        <v>3</v>
      </c>
      <c r="M78" s="26">
        <f t="shared" si="25"/>
        <v>1</v>
      </c>
      <c r="N78" s="3" t="s">
        <v>0</v>
      </c>
      <c r="O78" s="3" t="s">
        <v>9</v>
      </c>
      <c r="P78" s="3" t="s">
        <v>4</v>
      </c>
      <c r="Q78" s="10">
        <f>IF(OR(O78="",P78=""),"",SUMIFS('1. Points System'!$E$3:$E$24,'1. Points System'!$C$3:$C$24,O78,'1. Points System'!$D$3:$D$24,P78))</f>
        <v>0</v>
      </c>
      <c r="R78" s="21"/>
      <c r="S78" s="6">
        <f t="shared" si="16"/>
        <v>0</v>
      </c>
      <c r="T78" s="20">
        <f t="shared" si="17"/>
        <v>0</v>
      </c>
      <c r="U78" s="42">
        <f>MasterDataTbl[[#This Row],[2026 Total Points]]+(MasterDataTbl[[#This Row],[Goal Difference]]/1000)</f>
        <v>-1E-3</v>
      </c>
    </row>
    <row r="79" spans="1:21" x14ac:dyDescent="0.25">
      <c r="A79" s="41" t="s">
        <v>161</v>
      </c>
      <c r="B79" s="17" t="s">
        <v>162</v>
      </c>
      <c r="C79" s="3" t="s">
        <v>98</v>
      </c>
      <c r="D79" s="3" t="s">
        <v>172</v>
      </c>
      <c r="E79" s="3" t="s">
        <v>193</v>
      </c>
      <c r="F79" s="26">
        <f t="shared" si="22"/>
        <v>5</v>
      </c>
      <c r="G79" s="26">
        <f t="shared" si="23"/>
        <v>9</v>
      </c>
      <c r="H79" s="25">
        <f t="shared" si="24"/>
        <v>-4</v>
      </c>
      <c r="I79" s="13" t="str">
        <f t="shared" si="10"/>
        <v>FIFH Malmo</v>
      </c>
      <c r="J79" s="2" t="str" cm="1">
        <f t="array" ref="J79">TRIM(RIGHT(E79,LEN(E79)-LOOKUP(2,1/(MID(E79,ROW($1:$60),1)=" "),ROW($1:$60))))</f>
        <v>5-9</v>
      </c>
      <c r="K79" s="2">
        <f t="shared" si="11"/>
        <v>5</v>
      </c>
      <c r="L79" s="2">
        <f t="shared" si="12"/>
        <v>9</v>
      </c>
      <c r="M79" s="26">
        <f t="shared" si="25"/>
        <v>1</v>
      </c>
      <c r="N79" s="3" t="s">
        <v>0</v>
      </c>
      <c r="O79" s="3" t="s">
        <v>9</v>
      </c>
      <c r="P79" s="3" t="s">
        <v>4</v>
      </c>
      <c r="Q79" s="10">
        <f>IF(OR(O79="",P79=""),"",SUMIFS('1. Points System'!$E$3:$E$24,'1. Points System'!$C$3:$C$24,O79,'1. Points System'!$D$3:$D$24,P79))</f>
        <v>0</v>
      </c>
      <c r="R79" s="21"/>
      <c r="S79" s="6">
        <f t="shared" si="16"/>
        <v>0</v>
      </c>
      <c r="T79" s="20">
        <f t="shared" si="17"/>
        <v>0</v>
      </c>
      <c r="U79" s="42">
        <f>MasterDataTbl[[#This Row],[2026 Total Points]]+(MasterDataTbl[[#This Row],[Goal Difference]]/1000)</f>
        <v>-4.0000000000000001E-3</v>
      </c>
    </row>
    <row r="80" spans="1:21" x14ac:dyDescent="0.25">
      <c r="A80" s="41" t="s">
        <v>161</v>
      </c>
      <c r="B80" s="17" t="s">
        <v>162</v>
      </c>
      <c r="C80" s="3" t="s">
        <v>97</v>
      </c>
      <c r="D80" s="3" t="s">
        <v>172</v>
      </c>
      <c r="E80" s="3" t="s">
        <v>193</v>
      </c>
      <c r="F80" s="26">
        <f t="shared" si="22"/>
        <v>9</v>
      </c>
      <c r="G80" s="26">
        <f t="shared" si="23"/>
        <v>5</v>
      </c>
      <c r="H80" s="25">
        <f t="shared" si="24"/>
        <v>4</v>
      </c>
      <c r="I80" s="13" t="str">
        <f t="shared" si="10"/>
        <v>FIFH Malmo</v>
      </c>
      <c r="J80" s="2" t="str" cm="1">
        <f t="array" ref="J80">TRIM(RIGHT(E80,LEN(E80)-LOOKUP(2,1/(MID(E80,ROW($1:$60),1)=" "),ROW($1:$60))))</f>
        <v>5-9</v>
      </c>
      <c r="K80" s="2">
        <f t="shared" si="11"/>
        <v>5</v>
      </c>
      <c r="L80" s="2">
        <f t="shared" si="12"/>
        <v>9</v>
      </c>
      <c r="M80" s="26">
        <f t="shared" si="25"/>
        <v>1</v>
      </c>
      <c r="N80" s="3" t="s">
        <v>0</v>
      </c>
      <c r="O80" s="3" t="s">
        <v>9</v>
      </c>
      <c r="P80" s="3" t="s">
        <v>3</v>
      </c>
      <c r="Q80" s="10">
        <f>IF(OR(O80="",P80=""),"",SUMIFS('1. Points System'!$E$3:$E$24,'1. Points System'!$C$3:$C$24,O80,'1. Points System'!$D$3:$D$24,P80))</f>
        <v>3</v>
      </c>
      <c r="R80" s="21"/>
      <c r="S80" s="6">
        <f t="shared" si="16"/>
        <v>3</v>
      </c>
      <c r="T80" s="20">
        <f t="shared" si="17"/>
        <v>1.5</v>
      </c>
      <c r="U80" s="42">
        <f>MasterDataTbl[[#This Row],[2026 Total Points]]+(MasterDataTbl[[#This Row],[Goal Difference]]/1000)</f>
        <v>3.004</v>
      </c>
    </row>
    <row r="81" spans="1:21" x14ac:dyDescent="0.25">
      <c r="A81" s="41" t="s">
        <v>161</v>
      </c>
      <c r="B81" s="17" t="s">
        <v>162</v>
      </c>
      <c r="C81" s="3" t="s">
        <v>100</v>
      </c>
      <c r="D81" s="3" t="s">
        <v>173</v>
      </c>
      <c r="E81" s="3" t="s">
        <v>194</v>
      </c>
      <c r="F81" s="26">
        <f t="shared" si="22"/>
        <v>4</v>
      </c>
      <c r="G81" s="26">
        <f t="shared" si="23"/>
        <v>5</v>
      </c>
      <c r="H81" s="25">
        <f t="shared" si="24"/>
        <v>-1</v>
      </c>
      <c r="I81" s="13" t="str">
        <f t="shared" si="10"/>
        <v>USV Hercules</v>
      </c>
      <c r="J81" s="2" t="str" cm="1">
        <f t="array" ref="J81">TRIM(RIGHT(E81,LEN(E81)-LOOKUP(2,1/(MID(E81,ROW($1:$60),1)=" "),ROW($1:$60))))</f>
        <v>4-5</v>
      </c>
      <c r="K81" s="2">
        <f t="shared" si="11"/>
        <v>4</v>
      </c>
      <c r="L81" s="2">
        <f t="shared" si="12"/>
        <v>5</v>
      </c>
      <c r="M81" s="26">
        <f t="shared" si="25"/>
        <v>1</v>
      </c>
      <c r="N81" s="3" t="s">
        <v>0</v>
      </c>
      <c r="O81" s="3" t="s">
        <v>9</v>
      </c>
      <c r="P81" s="3" t="s">
        <v>4</v>
      </c>
      <c r="Q81" s="10">
        <f>IF(OR(O81="",P81=""),"",SUMIFS('1. Points System'!$E$3:$E$24,'1. Points System'!$C$3:$C$24,O81,'1. Points System'!$D$3:$D$24,P81))</f>
        <v>0</v>
      </c>
      <c r="R81" s="21"/>
      <c r="S81" s="6">
        <f t="shared" si="16"/>
        <v>0</v>
      </c>
      <c r="T81" s="20">
        <f t="shared" si="17"/>
        <v>0</v>
      </c>
      <c r="U81" s="42">
        <f>MasterDataTbl[[#This Row],[2026 Total Points]]+(MasterDataTbl[[#This Row],[Goal Difference]]/1000)</f>
        <v>-1E-3</v>
      </c>
    </row>
    <row r="82" spans="1:21" x14ac:dyDescent="0.25">
      <c r="A82" s="41" t="s">
        <v>161</v>
      </c>
      <c r="B82" s="17" t="s">
        <v>162</v>
      </c>
      <c r="C82" s="3" t="s">
        <v>205</v>
      </c>
      <c r="D82" s="3" t="s">
        <v>173</v>
      </c>
      <c r="E82" s="3" t="s">
        <v>194</v>
      </c>
      <c r="F82" s="26">
        <f t="shared" si="22"/>
        <v>5</v>
      </c>
      <c r="G82" s="26">
        <f t="shared" si="23"/>
        <v>4</v>
      </c>
      <c r="H82" s="25">
        <f t="shared" si="24"/>
        <v>1</v>
      </c>
      <c r="I82" s="13" t="str">
        <f t="shared" si="10"/>
        <v>USV Hercules</v>
      </c>
      <c r="J82" s="2" t="str" cm="1">
        <f t="array" ref="J82">TRIM(RIGHT(E82,LEN(E82)-LOOKUP(2,1/(MID(E82,ROW($1:$60),1)=" "),ROW($1:$60))))</f>
        <v>4-5</v>
      </c>
      <c r="K82" s="2">
        <f t="shared" si="11"/>
        <v>4</v>
      </c>
      <c r="L82" s="2">
        <f t="shared" si="12"/>
        <v>5</v>
      </c>
      <c r="M82" s="26">
        <f t="shared" si="25"/>
        <v>1</v>
      </c>
      <c r="N82" s="3" t="s">
        <v>0</v>
      </c>
      <c r="O82" s="3" t="s">
        <v>9</v>
      </c>
      <c r="P82" s="3" t="s">
        <v>3</v>
      </c>
      <c r="Q82" s="10">
        <f>IF(OR(O82="",P82=""),"",SUMIFS('1. Points System'!$E$3:$E$24,'1. Points System'!$C$3:$C$24,O82,'1. Points System'!$D$3:$D$24,P82))</f>
        <v>3</v>
      </c>
      <c r="R82" s="21"/>
      <c r="S82" s="6">
        <f t="shared" si="16"/>
        <v>3</v>
      </c>
      <c r="T82" s="20">
        <f t="shared" si="17"/>
        <v>1.5</v>
      </c>
      <c r="U82" s="42">
        <f>MasterDataTbl[[#This Row],[2026 Total Points]]+(MasterDataTbl[[#This Row],[Goal Difference]]/1000)</f>
        <v>3.0009999999999999</v>
      </c>
    </row>
    <row r="83" spans="1:21" x14ac:dyDescent="0.25">
      <c r="A83" s="41" t="s">
        <v>161</v>
      </c>
      <c r="B83" s="17" t="s">
        <v>162</v>
      </c>
      <c r="C83" s="3" t="s">
        <v>53</v>
      </c>
      <c r="D83" s="3" t="s">
        <v>174</v>
      </c>
      <c r="E83" s="3" t="s">
        <v>195</v>
      </c>
      <c r="F83" s="26">
        <f t="shared" si="22"/>
        <v>0</v>
      </c>
      <c r="G83" s="26">
        <f t="shared" si="23"/>
        <v>10</v>
      </c>
      <c r="H83" s="25">
        <f t="shared" si="24"/>
        <v>-10</v>
      </c>
      <c r="I83" s="13" t="str">
        <f t="shared" si="10"/>
        <v>Füchse Berlin</v>
      </c>
      <c r="J83" s="2" t="str" cm="1">
        <f t="array" ref="J83">TRIM(RIGHT(E83,LEN(E83)-LOOKUP(2,1/(MID(E83,ROW($1:$60),1)=" "),ROW($1:$60))))</f>
        <v>0-10</v>
      </c>
      <c r="K83" s="2">
        <f t="shared" si="11"/>
        <v>0</v>
      </c>
      <c r="L83" s="2">
        <f t="shared" si="12"/>
        <v>10</v>
      </c>
      <c r="M83" s="26">
        <f t="shared" si="25"/>
        <v>1</v>
      </c>
      <c r="N83" s="3" t="s">
        <v>0</v>
      </c>
      <c r="O83" s="3" t="s">
        <v>9</v>
      </c>
      <c r="P83" s="3" t="s">
        <v>4</v>
      </c>
      <c r="Q83" s="10">
        <f>IF(OR(O83="",P83=""),"",SUMIFS('1. Points System'!$E$3:$E$24,'1. Points System'!$C$3:$C$24,O83,'1. Points System'!$D$3:$D$24,P83))</f>
        <v>0</v>
      </c>
      <c r="R83" s="21"/>
      <c r="S83" s="6">
        <f t="shared" si="16"/>
        <v>0</v>
      </c>
      <c r="T83" s="20">
        <f t="shared" si="17"/>
        <v>0</v>
      </c>
      <c r="U83" s="42">
        <f>MasterDataTbl[[#This Row],[2026 Total Points]]+(MasterDataTbl[[#This Row],[Goal Difference]]/1000)</f>
        <v>-0.01</v>
      </c>
    </row>
    <row r="84" spans="1:21" x14ac:dyDescent="0.25">
      <c r="A84" s="41" t="s">
        <v>161</v>
      </c>
      <c r="B84" s="17" t="s">
        <v>162</v>
      </c>
      <c r="C84" s="3" t="s">
        <v>23</v>
      </c>
      <c r="D84" s="3" t="s">
        <v>174</v>
      </c>
      <c r="E84" s="3" t="s">
        <v>195</v>
      </c>
      <c r="F84" s="26">
        <f t="shared" si="22"/>
        <v>10</v>
      </c>
      <c r="G84" s="26">
        <f t="shared" si="23"/>
        <v>0</v>
      </c>
      <c r="H84" s="25">
        <f t="shared" si="24"/>
        <v>10</v>
      </c>
      <c r="I84" s="13" t="str">
        <f t="shared" si="10"/>
        <v>Füchse Berlin</v>
      </c>
      <c r="J84" s="2" t="str" cm="1">
        <f t="array" ref="J84">TRIM(RIGHT(E84,LEN(E84)-LOOKUP(2,1/(MID(E84,ROW($1:$60),1)=" "),ROW($1:$60))))</f>
        <v>0-10</v>
      </c>
      <c r="K84" s="2">
        <f t="shared" si="11"/>
        <v>0</v>
      </c>
      <c r="L84" s="2">
        <f t="shared" si="12"/>
        <v>10</v>
      </c>
      <c r="M84" s="26">
        <f t="shared" si="25"/>
        <v>1</v>
      </c>
      <c r="N84" s="3" t="s">
        <v>0</v>
      </c>
      <c r="O84" s="3" t="s">
        <v>9</v>
      </c>
      <c r="P84" s="3" t="s">
        <v>3</v>
      </c>
      <c r="Q84" s="10">
        <f>IF(OR(O84="",P84=""),"",SUMIFS('1. Points System'!$E$3:$E$24,'1. Points System'!$C$3:$C$24,O84,'1. Points System'!$D$3:$D$24,P84))</f>
        <v>3</v>
      </c>
      <c r="R84" s="21"/>
      <c r="S84" s="6">
        <f t="shared" si="16"/>
        <v>3</v>
      </c>
      <c r="T84" s="20">
        <f t="shared" si="17"/>
        <v>1.5</v>
      </c>
      <c r="U84" s="42">
        <f>MasterDataTbl[[#This Row],[2026 Total Points]]+(MasterDataTbl[[#This Row],[Goal Difference]]/1000)</f>
        <v>3.01</v>
      </c>
    </row>
    <row r="85" spans="1:21" x14ac:dyDescent="0.25">
      <c r="A85" s="41" t="s">
        <v>161</v>
      </c>
      <c r="B85" s="17" t="s">
        <v>162</v>
      </c>
      <c r="C85" s="3" t="s">
        <v>50</v>
      </c>
      <c r="D85" s="3" t="s">
        <v>175</v>
      </c>
      <c r="E85" s="3" t="s">
        <v>196</v>
      </c>
      <c r="F85" s="26">
        <f t="shared" si="22"/>
        <v>11</v>
      </c>
      <c r="G85" s="26">
        <f t="shared" si="23"/>
        <v>1</v>
      </c>
      <c r="H85" s="25">
        <f t="shared" si="24"/>
        <v>10</v>
      </c>
      <c r="I85" s="13" t="str">
        <f t="shared" si="10"/>
        <v>RGC Hansa</v>
      </c>
      <c r="J85" s="2" t="str" cm="1">
        <f t="array" ref="J85">TRIM(RIGHT(E85,LEN(E85)-LOOKUP(2,1/(MID(E85,ROW($1:$60),1)=" "),ROW($1:$60))))</f>
        <v>11-1</v>
      </c>
      <c r="K85" s="2">
        <f t="shared" si="11"/>
        <v>11</v>
      </c>
      <c r="L85" s="2">
        <f t="shared" si="12"/>
        <v>1</v>
      </c>
      <c r="M85" s="26">
        <f t="shared" si="25"/>
        <v>1</v>
      </c>
      <c r="N85" s="3" t="s">
        <v>206</v>
      </c>
      <c r="O85" s="3" t="s">
        <v>30</v>
      </c>
      <c r="P85" s="3" t="s">
        <v>3</v>
      </c>
      <c r="Q85" s="10">
        <f>IF(OR(O85="",P85=""),"",SUMIFS('1. Points System'!$E$3:$E$24,'1. Points System'!$C$3:$C$24,O85,'1. Points System'!$D$3:$D$24,P85))</f>
        <v>4.5</v>
      </c>
      <c r="R85" s="21"/>
      <c r="S85" s="6">
        <f t="shared" si="16"/>
        <v>4.5</v>
      </c>
      <c r="T85" s="20">
        <f t="shared" si="17"/>
        <v>2.25</v>
      </c>
      <c r="U85" s="42">
        <f>MasterDataTbl[[#This Row],[2026 Total Points]]+(MasterDataTbl[[#This Row],[Goal Difference]]/1000)</f>
        <v>4.51</v>
      </c>
    </row>
    <row r="86" spans="1:21" x14ac:dyDescent="0.25">
      <c r="A86" s="41" t="s">
        <v>161</v>
      </c>
      <c r="B86" s="17" t="s">
        <v>162</v>
      </c>
      <c r="C86" s="3" t="s">
        <v>53</v>
      </c>
      <c r="D86" s="3" t="s">
        <v>175</v>
      </c>
      <c r="E86" s="3" t="s">
        <v>196</v>
      </c>
      <c r="F86" s="26">
        <f t="shared" si="22"/>
        <v>1</v>
      </c>
      <c r="G86" s="26">
        <f t="shared" si="23"/>
        <v>11</v>
      </c>
      <c r="H86" s="25">
        <f t="shared" si="24"/>
        <v>-10</v>
      </c>
      <c r="I86" s="13" t="str">
        <f t="shared" si="10"/>
        <v>RGC Hansa</v>
      </c>
      <c r="J86" s="2" t="str" cm="1">
        <f t="array" ref="J86">TRIM(RIGHT(E86,LEN(E86)-LOOKUP(2,1/(MID(E86,ROW($1:$60),1)=" "),ROW($1:$60))))</f>
        <v>11-1</v>
      </c>
      <c r="K86" s="2">
        <f t="shared" si="11"/>
        <v>11</v>
      </c>
      <c r="L86" s="2">
        <f t="shared" si="12"/>
        <v>1</v>
      </c>
      <c r="M86" s="26">
        <f t="shared" si="25"/>
        <v>1</v>
      </c>
      <c r="N86" s="3" t="s">
        <v>206</v>
      </c>
      <c r="O86" s="3" t="s">
        <v>30</v>
      </c>
      <c r="P86" s="3" t="s">
        <v>4</v>
      </c>
      <c r="Q86" s="10">
        <f>IF(OR(O86="",P86=""),"",SUMIFS('1. Points System'!$E$3:$E$24,'1. Points System'!$C$3:$C$24,O86,'1. Points System'!$D$3:$D$24,P86))</f>
        <v>0</v>
      </c>
      <c r="R86" s="21"/>
      <c r="S86" s="6">
        <f t="shared" si="16"/>
        <v>0</v>
      </c>
      <c r="T86" s="20">
        <f t="shared" si="17"/>
        <v>0</v>
      </c>
      <c r="U86" s="42">
        <f>MasterDataTbl[[#This Row],[2026 Total Points]]+(MasterDataTbl[[#This Row],[Goal Difference]]/1000)</f>
        <v>-0.01</v>
      </c>
    </row>
    <row r="87" spans="1:21" x14ac:dyDescent="0.25">
      <c r="A87" s="41" t="s">
        <v>161</v>
      </c>
      <c r="B87" s="17" t="s">
        <v>162</v>
      </c>
      <c r="C87" s="3" t="s">
        <v>205</v>
      </c>
      <c r="D87" s="3" t="s">
        <v>176</v>
      </c>
      <c r="E87" s="3" t="s">
        <v>197</v>
      </c>
      <c r="F87" s="26">
        <f t="shared" si="22"/>
        <v>1</v>
      </c>
      <c r="G87" s="26">
        <f t="shared" si="23"/>
        <v>6</v>
      </c>
      <c r="H87" s="25">
        <f t="shared" si="24"/>
        <v>-5</v>
      </c>
      <c r="I87" s="13" t="str">
        <f t="shared" si="10"/>
        <v>Isparta</v>
      </c>
      <c r="J87" s="2" t="str" cm="1">
        <f t="array" ref="J87">TRIM(RIGHT(E87,LEN(E87)-LOOKUP(2,1/(MID(E87,ROW($1:$60),1)=" "),ROW($1:$60))))</f>
        <v>1-6</v>
      </c>
      <c r="K87" s="2">
        <f t="shared" si="11"/>
        <v>1</v>
      </c>
      <c r="L87" s="2">
        <f t="shared" si="12"/>
        <v>6</v>
      </c>
      <c r="M87" s="26">
        <f t="shared" si="25"/>
        <v>1</v>
      </c>
      <c r="N87" s="3" t="s">
        <v>206</v>
      </c>
      <c r="O87" s="3" t="s">
        <v>30</v>
      </c>
      <c r="P87" s="3" t="s">
        <v>4</v>
      </c>
      <c r="Q87" s="10">
        <f>IF(OR(O87="",P87=""),"",SUMIFS('1. Points System'!$E$3:$E$24,'1. Points System'!$C$3:$C$24,O87,'1. Points System'!$D$3:$D$24,P87))</f>
        <v>0</v>
      </c>
      <c r="R87" s="21"/>
      <c r="S87" s="6">
        <f t="shared" si="16"/>
        <v>0</v>
      </c>
      <c r="T87" s="20">
        <f t="shared" si="17"/>
        <v>0</v>
      </c>
      <c r="U87" s="42">
        <f>MasterDataTbl[[#This Row],[2026 Total Points]]+(MasterDataTbl[[#This Row],[Goal Difference]]/1000)</f>
        <v>-5.0000000000000001E-3</v>
      </c>
    </row>
    <row r="88" spans="1:21" x14ac:dyDescent="0.25">
      <c r="A88" s="41" t="s">
        <v>161</v>
      </c>
      <c r="B88" s="17" t="s">
        <v>162</v>
      </c>
      <c r="C88" s="3" t="s">
        <v>98</v>
      </c>
      <c r="D88" s="3" t="s">
        <v>176</v>
      </c>
      <c r="E88" s="3" t="s">
        <v>197</v>
      </c>
      <c r="F88" s="26">
        <f t="shared" si="22"/>
        <v>6</v>
      </c>
      <c r="G88" s="26">
        <f t="shared" si="23"/>
        <v>1</v>
      </c>
      <c r="H88" s="25">
        <f t="shared" si="24"/>
        <v>5</v>
      </c>
      <c r="I88" s="13" t="str">
        <f t="shared" si="10"/>
        <v>Isparta</v>
      </c>
      <c r="J88" s="2" t="str" cm="1">
        <f t="array" ref="J88">TRIM(RIGHT(E88,LEN(E88)-LOOKUP(2,1/(MID(E88,ROW($1:$60),1)=" "),ROW($1:$60))))</f>
        <v>1-6</v>
      </c>
      <c r="K88" s="2">
        <f t="shared" si="11"/>
        <v>1</v>
      </c>
      <c r="L88" s="2">
        <f t="shared" si="12"/>
        <v>6</v>
      </c>
      <c r="M88" s="26">
        <f t="shared" si="25"/>
        <v>1</v>
      </c>
      <c r="N88" s="3" t="s">
        <v>206</v>
      </c>
      <c r="O88" s="3" t="s">
        <v>30</v>
      </c>
      <c r="P88" s="3" t="s">
        <v>3</v>
      </c>
      <c r="Q88" s="10">
        <f>IF(OR(O88="",P88=""),"",SUMIFS('1. Points System'!$E$3:$E$24,'1. Points System'!$C$3:$C$24,O88,'1. Points System'!$D$3:$D$24,P88))</f>
        <v>4.5</v>
      </c>
      <c r="R88" s="21"/>
      <c r="S88" s="6">
        <f t="shared" si="16"/>
        <v>4.5</v>
      </c>
      <c r="T88" s="20">
        <f t="shared" si="17"/>
        <v>2.25</v>
      </c>
      <c r="U88" s="42">
        <f>MasterDataTbl[[#This Row],[2026 Total Points]]+(MasterDataTbl[[#This Row],[Goal Difference]]/1000)</f>
        <v>4.5049999999999999</v>
      </c>
    </row>
    <row r="89" spans="1:21" x14ac:dyDescent="0.25">
      <c r="A89" s="41" t="s">
        <v>161</v>
      </c>
      <c r="B89" s="17" t="s">
        <v>162</v>
      </c>
      <c r="C89" s="3" t="s">
        <v>23</v>
      </c>
      <c r="D89" s="3" t="s">
        <v>177</v>
      </c>
      <c r="E89" s="3" t="s">
        <v>210</v>
      </c>
      <c r="F89" s="26">
        <f t="shared" si="22"/>
        <v>9</v>
      </c>
      <c r="G89" s="26">
        <f t="shared" si="23"/>
        <v>4</v>
      </c>
      <c r="H89" s="25">
        <f t="shared" si="24"/>
        <v>5</v>
      </c>
      <c r="I89" s="13" t="str">
        <f t="shared" ref="I89:I108" si="26">TRIM(LEFT(E89,FIND(" – ",E89)-1))</f>
        <v>Old Power</v>
      </c>
      <c r="J89" s="2" t="str" cm="1">
        <f t="array" ref="J89">TRIM(RIGHT(E89,LEN(E89)-LOOKUP(2,1/(MID(E89,ROW($1:$60),1)=" "),ROW($1:$60))))</f>
        <v>9-4</v>
      </c>
      <c r="K89" s="2">
        <f t="shared" si="11"/>
        <v>9</v>
      </c>
      <c r="L89" s="2">
        <f t="shared" si="12"/>
        <v>4</v>
      </c>
      <c r="M89" s="26">
        <f t="shared" si="25"/>
        <v>1</v>
      </c>
      <c r="N89" s="3" t="s">
        <v>206</v>
      </c>
      <c r="O89" s="3" t="s">
        <v>30</v>
      </c>
      <c r="P89" s="3" t="s">
        <v>3</v>
      </c>
      <c r="Q89" s="10">
        <f>IF(OR(O89="",P89=""),"",SUMIFS('1. Points System'!$E$3:$E$24,'1. Points System'!$C$3:$C$24,O89,'1. Points System'!$D$3:$D$24,P89))</f>
        <v>4.5</v>
      </c>
      <c r="R89" s="21"/>
      <c r="S89" s="6">
        <f t="shared" si="16"/>
        <v>4.5</v>
      </c>
      <c r="T89" s="20">
        <f t="shared" si="17"/>
        <v>2.25</v>
      </c>
      <c r="U89" s="42">
        <f>MasterDataTbl[[#This Row],[2026 Total Points]]+(MasterDataTbl[[#This Row],[Goal Difference]]/1000)</f>
        <v>4.5049999999999999</v>
      </c>
    </row>
    <row r="90" spans="1:21" x14ac:dyDescent="0.25">
      <c r="A90" s="41" t="s">
        <v>161</v>
      </c>
      <c r="B90" s="17" t="s">
        <v>162</v>
      </c>
      <c r="C90" s="3" t="s">
        <v>99</v>
      </c>
      <c r="D90" s="3" t="s">
        <v>177</v>
      </c>
      <c r="E90" s="3" t="s">
        <v>210</v>
      </c>
      <c r="F90" s="26">
        <f t="shared" si="22"/>
        <v>4</v>
      </c>
      <c r="G90" s="26">
        <f t="shared" si="23"/>
        <v>9</v>
      </c>
      <c r="H90" s="25">
        <f t="shared" si="24"/>
        <v>-5</v>
      </c>
      <c r="I90" s="13" t="str">
        <f t="shared" si="26"/>
        <v>Old Power</v>
      </c>
      <c r="J90" s="2" t="str" cm="1">
        <f t="array" ref="J90">TRIM(RIGHT(E90,LEN(E90)-LOOKUP(2,1/(MID(E90,ROW($1:$60),1)=" "),ROW($1:$60))))</f>
        <v>9-4</v>
      </c>
      <c r="K90" s="2">
        <f t="shared" si="11"/>
        <v>9</v>
      </c>
      <c r="L90" s="2">
        <f t="shared" si="12"/>
        <v>4</v>
      </c>
      <c r="M90" s="26">
        <f t="shared" si="25"/>
        <v>1</v>
      </c>
      <c r="N90" s="3" t="s">
        <v>206</v>
      </c>
      <c r="O90" s="3" t="s">
        <v>30</v>
      </c>
      <c r="P90" s="3" t="s">
        <v>4</v>
      </c>
      <c r="Q90" s="10">
        <f>IF(OR(O90="",P90=""),"",SUMIFS('1. Points System'!$E$3:$E$24,'1. Points System'!$C$3:$C$24,O90,'1. Points System'!$D$3:$D$24,P90))</f>
        <v>0</v>
      </c>
      <c r="R90" s="21"/>
      <c r="S90" s="6">
        <f t="shared" si="16"/>
        <v>0</v>
      </c>
      <c r="T90" s="20">
        <f t="shared" si="17"/>
        <v>0</v>
      </c>
      <c r="U90" s="42">
        <f>MasterDataTbl[[#This Row],[2026 Total Points]]+(MasterDataTbl[[#This Row],[Goal Difference]]/1000)</f>
        <v>-5.0000000000000001E-3</v>
      </c>
    </row>
    <row r="91" spans="1:21" x14ac:dyDescent="0.25">
      <c r="A91" s="41" t="s">
        <v>161</v>
      </c>
      <c r="B91" s="17" t="s">
        <v>162</v>
      </c>
      <c r="C91" s="3" t="s">
        <v>97</v>
      </c>
      <c r="D91" s="3" t="s">
        <v>178</v>
      </c>
      <c r="E91" s="3" t="s">
        <v>198</v>
      </c>
      <c r="F91" s="26">
        <f t="shared" si="22"/>
        <v>14</v>
      </c>
      <c r="G91" s="26">
        <f t="shared" si="23"/>
        <v>6</v>
      </c>
      <c r="H91" s="25">
        <f t="shared" si="24"/>
        <v>8</v>
      </c>
      <c r="I91" s="13" t="str">
        <f t="shared" si="26"/>
        <v>Kahramanmaras</v>
      </c>
      <c r="J91" s="2" t="str" cm="1">
        <f t="array" ref="J91">TRIM(RIGHT(E91,LEN(E91)-LOOKUP(2,1/(MID(E91,ROW($1:$60),1)=" "),ROW($1:$60))))</f>
        <v>14-6</v>
      </c>
      <c r="K91" s="2">
        <f t="shared" si="11"/>
        <v>14</v>
      </c>
      <c r="L91" s="2">
        <f t="shared" si="12"/>
        <v>6</v>
      </c>
      <c r="M91" s="26">
        <f t="shared" si="25"/>
        <v>1</v>
      </c>
      <c r="N91" s="3" t="s">
        <v>206</v>
      </c>
      <c r="O91" s="3" t="s">
        <v>30</v>
      </c>
      <c r="P91" s="3" t="s">
        <v>3</v>
      </c>
      <c r="Q91" s="10">
        <f>IF(OR(O91="",P91=""),"",SUMIFS('1. Points System'!$E$3:$E$24,'1. Points System'!$C$3:$C$24,O91,'1. Points System'!$D$3:$D$24,P91))</f>
        <v>4.5</v>
      </c>
      <c r="R91" s="21"/>
      <c r="S91" s="6">
        <f t="shared" si="16"/>
        <v>4.5</v>
      </c>
      <c r="T91" s="20">
        <f t="shared" si="17"/>
        <v>2.25</v>
      </c>
      <c r="U91" s="42">
        <f>MasterDataTbl[[#This Row],[2026 Total Points]]+(MasterDataTbl[[#This Row],[Goal Difference]]/1000)</f>
        <v>4.508</v>
      </c>
    </row>
    <row r="92" spans="1:21" x14ac:dyDescent="0.25">
      <c r="A92" s="41" t="s">
        <v>161</v>
      </c>
      <c r="B92" s="17" t="s">
        <v>162</v>
      </c>
      <c r="C92" s="3" t="s">
        <v>100</v>
      </c>
      <c r="D92" s="3" t="s">
        <v>178</v>
      </c>
      <c r="E92" s="3" t="s">
        <v>198</v>
      </c>
      <c r="F92" s="26">
        <f t="shared" si="22"/>
        <v>6</v>
      </c>
      <c r="G92" s="26">
        <f t="shared" si="23"/>
        <v>14</v>
      </c>
      <c r="H92" s="25">
        <f t="shared" si="24"/>
        <v>-8</v>
      </c>
      <c r="I92" s="13" t="str">
        <f t="shared" si="26"/>
        <v>Kahramanmaras</v>
      </c>
      <c r="J92" s="2" t="str" cm="1">
        <f t="array" ref="J92">TRIM(RIGHT(E92,LEN(E92)-LOOKUP(2,1/(MID(E92,ROW($1:$60),1)=" "),ROW($1:$60))))</f>
        <v>14-6</v>
      </c>
      <c r="K92" s="2">
        <f t="shared" si="11"/>
        <v>14</v>
      </c>
      <c r="L92" s="2">
        <f t="shared" si="12"/>
        <v>6</v>
      </c>
      <c r="M92" s="26">
        <f t="shared" si="25"/>
        <v>1</v>
      </c>
      <c r="N92" s="3" t="s">
        <v>206</v>
      </c>
      <c r="O92" s="3" t="s">
        <v>30</v>
      </c>
      <c r="P92" s="3" t="s">
        <v>4</v>
      </c>
      <c r="Q92" s="10">
        <f>IF(OR(O92="",P92=""),"",SUMIFS('1. Points System'!$E$3:$E$24,'1. Points System'!$C$3:$C$24,O92,'1. Points System'!$D$3:$D$24,P92))</f>
        <v>0</v>
      </c>
      <c r="R92" s="21"/>
      <c r="S92" s="6">
        <f t="shared" si="16"/>
        <v>0</v>
      </c>
      <c r="T92" s="20">
        <f t="shared" si="17"/>
        <v>0</v>
      </c>
      <c r="U92" s="42">
        <f>MasterDataTbl[[#This Row],[2026 Total Points]]+(MasterDataTbl[[#This Row],[Goal Difference]]/1000)</f>
        <v>-8.0000000000000002E-3</v>
      </c>
    </row>
    <row r="93" spans="1:21" x14ac:dyDescent="0.25">
      <c r="A93" s="41" t="s">
        <v>161</v>
      </c>
      <c r="B93" s="17" t="s">
        <v>162</v>
      </c>
      <c r="C93" s="3" t="s">
        <v>205</v>
      </c>
      <c r="D93" s="3" t="s">
        <v>179</v>
      </c>
      <c r="E93" s="3" t="s">
        <v>199</v>
      </c>
      <c r="F93" s="26">
        <f t="shared" si="22"/>
        <v>3</v>
      </c>
      <c r="G93" s="26">
        <f t="shared" si="23"/>
        <v>9</v>
      </c>
      <c r="H93" s="25">
        <f t="shared" si="24"/>
        <v>-6</v>
      </c>
      <c r="I93" s="13" t="str">
        <f t="shared" si="26"/>
        <v>Isparta</v>
      </c>
      <c r="J93" s="2" t="str" cm="1">
        <f t="array" ref="J93">TRIM(RIGHT(E93,LEN(E93)-LOOKUP(2,1/(MID(E93,ROW($1:$60),1)=" "),ROW($1:$60))))</f>
        <v>3-9</v>
      </c>
      <c r="K93" s="2">
        <f t="shared" si="11"/>
        <v>3</v>
      </c>
      <c r="L93" s="2">
        <f t="shared" si="12"/>
        <v>9</v>
      </c>
      <c r="M93" s="26">
        <f t="shared" si="25"/>
        <v>1</v>
      </c>
      <c r="N93" s="3" t="s">
        <v>35</v>
      </c>
      <c r="O93" s="3" t="s">
        <v>7</v>
      </c>
      <c r="P93" s="3" t="s">
        <v>4</v>
      </c>
      <c r="Q93" s="10">
        <f>IF(OR(O93="",P93=""),"",SUMIFS('1. Points System'!$E$3:$E$24,'1. Points System'!$C$3:$C$24,O93,'1. Points System'!$D$3:$D$24,P93))</f>
        <v>0</v>
      </c>
      <c r="R93" s="21"/>
      <c r="S93" s="6">
        <f t="shared" ref="S93:S124" si="27">Q93</f>
        <v>0</v>
      </c>
      <c r="T93" s="20">
        <f t="shared" ref="T93:T124" si="28">S93/2</f>
        <v>0</v>
      </c>
      <c r="U93" s="42">
        <f>MasterDataTbl[[#This Row],[2026 Total Points]]+(MasterDataTbl[[#This Row],[Goal Difference]]/1000)</f>
        <v>-6.0000000000000001E-3</v>
      </c>
    </row>
    <row r="94" spans="1:21" x14ac:dyDescent="0.25">
      <c r="A94" s="41" t="s">
        <v>161</v>
      </c>
      <c r="B94" s="17" t="s">
        <v>162</v>
      </c>
      <c r="C94" s="3" t="s">
        <v>53</v>
      </c>
      <c r="D94" s="3" t="s">
        <v>179</v>
      </c>
      <c r="E94" s="3" t="s">
        <v>199</v>
      </c>
      <c r="F94" s="26">
        <f t="shared" si="22"/>
        <v>9</v>
      </c>
      <c r="G94" s="26">
        <f t="shared" si="23"/>
        <v>3</v>
      </c>
      <c r="H94" s="25">
        <f t="shared" si="24"/>
        <v>6</v>
      </c>
      <c r="I94" s="13" t="str">
        <f t="shared" si="26"/>
        <v>Isparta</v>
      </c>
      <c r="J94" s="2" t="str" cm="1">
        <f t="array" ref="J94">TRIM(RIGHT(E94,LEN(E94)-LOOKUP(2,1/(MID(E94,ROW($1:$60),1)=" "),ROW($1:$60))))</f>
        <v>3-9</v>
      </c>
      <c r="K94" s="2">
        <f t="shared" si="11"/>
        <v>3</v>
      </c>
      <c r="L94" s="2">
        <f t="shared" si="12"/>
        <v>9</v>
      </c>
      <c r="M94" s="26">
        <f t="shared" si="25"/>
        <v>1</v>
      </c>
      <c r="N94" s="3" t="s">
        <v>35</v>
      </c>
      <c r="O94" s="3" t="s">
        <v>7</v>
      </c>
      <c r="P94" s="3" t="s">
        <v>3</v>
      </c>
      <c r="Q94" s="10">
        <f>IF(OR(O94="",P94=""),"",SUMIFS('1. Points System'!$E$3:$E$24,'1. Points System'!$C$3:$C$24,O94,'1. Points System'!$D$3:$D$24,P94))</f>
        <v>3</v>
      </c>
      <c r="R94" s="21"/>
      <c r="S94" s="6">
        <f t="shared" si="27"/>
        <v>3</v>
      </c>
      <c r="T94" s="20">
        <f t="shared" si="28"/>
        <v>1.5</v>
      </c>
      <c r="U94" s="42">
        <f>MasterDataTbl[[#This Row],[2026 Total Points]]+(MasterDataTbl[[#This Row],[Goal Difference]]/1000)</f>
        <v>3.0059999999999998</v>
      </c>
    </row>
    <row r="95" spans="1:21" x14ac:dyDescent="0.25">
      <c r="A95" s="41" t="s">
        <v>161</v>
      </c>
      <c r="B95" s="17" t="s">
        <v>162</v>
      </c>
      <c r="C95" s="3" t="s">
        <v>100</v>
      </c>
      <c r="D95" s="3" t="s">
        <v>180</v>
      </c>
      <c r="E95" s="3" t="s">
        <v>211</v>
      </c>
      <c r="F95" s="26">
        <f t="shared" si="22"/>
        <v>0</v>
      </c>
      <c r="G95" s="26">
        <f t="shared" si="23"/>
        <v>3</v>
      </c>
      <c r="H95" s="25">
        <f t="shared" si="24"/>
        <v>-3</v>
      </c>
      <c r="I95" s="13" t="str">
        <f t="shared" si="26"/>
        <v>USV Hercules</v>
      </c>
      <c r="J95" s="2" t="str" cm="1">
        <f t="array" ref="J95">TRIM(RIGHT(E95,LEN(E95)-LOOKUP(2,1/(MID(E95,ROW($1:$60),1)=" "),ROW($1:$60))))</f>
        <v>0-3</v>
      </c>
      <c r="K95" s="2">
        <f t="shared" si="11"/>
        <v>0</v>
      </c>
      <c r="L95" s="2">
        <f t="shared" si="12"/>
        <v>3</v>
      </c>
      <c r="M95" s="26">
        <f t="shared" si="25"/>
        <v>1</v>
      </c>
      <c r="N95" s="3" t="s">
        <v>35</v>
      </c>
      <c r="O95" s="3" t="s">
        <v>7</v>
      </c>
      <c r="P95" s="3" t="s">
        <v>4</v>
      </c>
      <c r="Q95" s="10">
        <f>IF(OR(O95="",P95=""),"",SUMIFS('1. Points System'!$E$3:$E$24,'1. Points System'!$C$3:$C$24,O95,'1. Points System'!$D$3:$D$24,P95))</f>
        <v>0</v>
      </c>
      <c r="R95" s="21"/>
      <c r="S95" s="6">
        <f t="shared" si="27"/>
        <v>0</v>
      </c>
      <c r="T95" s="20">
        <f t="shared" si="28"/>
        <v>0</v>
      </c>
      <c r="U95" s="42">
        <f>MasterDataTbl[[#This Row],[2026 Total Points]]+(MasterDataTbl[[#This Row],[Goal Difference]]/1000)</f>
        <v>-3.0000000000000001E-3</v>
      </c>
    </row>
    <row r="96" spans="1:21" x14ac:dyDescent="0.25">
      <c r="A96" s="41" t="s">
        <v>161</v>
      </c>
      <c r="B96" s="17" t="s">
        <v>162</v>
      </c>
      <c r="C96" s="3" t="s">
        <v>99</v>
      </c>
      <c r="D96" s="3" t="s">
        <v>180</v>
      </c>
      <c r="E96" s="3" t="s">
        <v>211</v>
      </c>
      <c r="F96" s="26">
        <f t="shared" si="22"/>
        <v>3</v>
      </c>
      <c r="G96" s="26">
        <f t="shared" si="23"/>
        <v>0</v>
      </c>
      <c r="H96" s="25">
        <f t="shared" si="24"/>
        <v>3</v>
      </c>
      <c r="I96" s="13" t="str">
        <f t="shared" si="26"/>
        <v>USV Hercules</v>
      </c>
      <c r="J96" s="2" t="str" cm="1">
        <f t="array" ref="J96">TRIM(RIGHT(E96,LEN(E96)-LOOKUP(2,1/(MID(E96,ROW($1:$60),1)=" "),ROW($1:$60))))</f>
        <v>0-3</v>
      </c>
      <c r="K96" s="2">
        <f t="shared" si="11"/>
        <v>0</v>
      </c>
      <c r="L96" s="2">
        <f t="shared" si="12"/>
        <v>3</v>
      </c>
      <c r="M96" s="26">
        <f t="shared" si="25"/>
        <v>1</v>
      </c>
      <c r="N96" s="3" t="s">
        <v>35</v>
      </c>
      <c r="O96" s="3" t="s">
        <v>7</v>
      </c>
      <c r="P96" s="3" t="s">
        <v>3</v>
      </c>
      <c r="Q96" s="10">
        <f>IF(OR(O96="",P96=""),"",SUMIFS('1. Points System'!$E$3:$E$24,'1. Points System'!$C$3:$C$24,O96,'1. Points System'!$D$3:$D$24,P96))</f>
        <v>3</v>
      </c>
      <c r="R96" s="21"/>
      <c r="S96" s="6">
        <f t="shared" si="27"/>
        <v>3</v>
      </c>
      <c r="T96" s="20">
        <f t="shared" si="28"/>
        <v>1.5</v>
      </c>
      <c r="U96" s="42">
        <f>MasterDataTbl[[#This Row],[2026 Total Points]]+(MasterDataTbl[[#This Row],[Goal Difference]]/1000)</f>
        <v>3.0030000000000001</v>
      </c>
    </row>
    <row r="97" spans="1:21" x14ac:dyDescent="0.25">
      <c r="A97" s="41" t="s">
        <v>161</v>
      </c>
      <c r="B97" s="17" t="s">
        <v>162</v>
      </c>
      <c r="C97" s="3" t="s">
        <v>23</v>
      </c>
      <c r="D97" s="3" t="s">
        <v>181</v>
      </c>
      <c r="E97" s="3" t="s">
        <v>200</v>
      </c>
      <c r="F97" s="26">
        <f t="shared" si="22"/>
        <v>3</v>
      </c>
      <c r="G97" s="26">
        <f t="shared" si="23"/>
        <v>1</v>
      </c>
      <c r="H97" s="25">
        <f t="shared" si="24"/>
        <v>2</v>
      </c>
      <c r="I97" s="13" t="str">
        <f t="shared" si="26"/>
        <v>Old Power</v>
      </c>
      <c r="J97" s="2" t="str" cm="1">
        <f t="array" ref="J97">TRIM(RIGHT(E97,LEN(E97)-LOOKUP(2,1/(MID(E97,ROW($1:$60),1)=" "),ROW($1:$60))))</f>
        <v>3-1</v>
      </c>
      <c r="K97" s="2">
        <f t="shared" si="11"/>
        <v>3</v>
      </c>
      <c r="L97" s="2">
        <f t="shared" si="12"/>
        <v>1</v>
      </c>
      <c r="M97" s="26">
        <f t="shared" si="25"/>
        <v>1</v>
      </c>
      <c r="N97" s="3" t="s">
        <v>1</v>
      </c>
      <c r="O97" s="3" t="s">
        <v>30</v>
      </c>
      <c r="P97" s="3" t="s">
        <v>3</v>
      </c>
      <c r="Q97" s="10">
        <f>IF(OR(O97="",P97=""),"",SUMIFS('1. Points System'!$E$3:$E$24,'1. Points System'!$C$3:$C$24,O97,'1. Points System'!$D$3:$D$24,P97))</f>
        <v>4.5</v>
      </c>
      <c r="R97" s="21"/>
      <c r="S97" s="6">
        <f t="shared" si="27"/>
        <v>4.5</v>
      </c>
      <c r="T97" s="20">
        <f t="shared" si="28"/>
        <v>2.25</v>
      </c>
      <c r="U97" s="42">
        <f>MasterDataTbl[[#This Row],[2026 Total Points]]+(MasterDataTbl[[#This Row],[Goal Difference]]/1000)</f>
        <v>4.5019999999999998</v>
      </c>
    </row>
    <row r="98" spans="1:21" x14ac:dyDescent="0.25">
      <c r="A98" s="41" t="s">
        <v>161</v>
      </c>
      <c r="B98" s="17" t="s">
        <v>162</v>
      </c>
      <c r="C98" s="3" t="s">
        <v>98</v>
      </c>
      <c r="D98" s="3" t="s">
        <v>181</v>
      </c>
      <c r="E98" s="3" t="s">
        <v>200</v>
      </c>
      <c r="F98" s="26">
        <f t="shared" si="22"/>
        <v>1</v>
      </c>
      <c r="G98" s="26">
        <f t="shared" si="23"/>
        <v>3</v>
      </c>
      <c r="H98" s="25">
        <f t="shared" si="24"/>
        <v>-2</v>
      </c>
      <c r="I98" s="13" t="str">
        <f t="shared" si="26"/>
        <v>Old Power</v>
      </c>
      <c r="J98" s="2" t="str" cm="1">
        <f t="array" ref="J98">TRIM(RIGHT(E98,LEN(E98)-LOOKUP(2,1/(MID(E98,ROW($1:$60),1)=" "),ROW($1:$60))))</f>
        <v>3-1</v>
      </c>
      <c r="K98" s="2">
        <f t="shared" si="11"/>
        <v>3</v>
      </c>
      <c r="L98" s="2">
        <f t="shared" si="12"/>
        <v>1</v>
      </c>
      <c r="M98" s="26">
        <f t="shared" si="25"/>
        <v>1</v>
      </c>
      <c r="N98" s="3" t="s">
        <v>1</v>
      </c>
      <c r="O98" s="3" t="s">
        <v>30</v>
      </c>
      <c r="P98" s="3" t="s">
        <v>4</v>
      </c>
      <c r="Q98" s="10">
        <f>IF(OR(O98="",P98=""),"",SUMIFS('1. Points System'!$E$3:$E$24,'1. Points System'!$C$3:$C$24,O98,'1. Points System'!$D$3:$D$24,P98))</f>
        <v>0</v>
      </c>
      <c r="R98" s="21"/>
      <c r="S98" s="6">
        <f t="shared" si="27"/>
        <v>0</v>
      </c>
      <c r="T98" s="20">
        <f t="shared" si="28"/>
        <v>0</v>
      </c>
      <c r="U98" s="42">
        <f>MasterDataTbl[[#This Row],[2026 Total Points]]+(MasterDataTbl[[#This Row],[Goal Difference]]/1000)</f>
        <v>-2E-3</v>
      </c>
    </row>
    <row r="99" spans="1:21" x14ac:dyDescent="0.25">
      <c r="A99" s="41" t="s">
        <v>161</v>
      </c>
      <c r="B99" s="17" t="s">
        <v>162</v>
      </c>
      <c r="C99" s="3" t="s">
        <v>50</v>
      </c>
      <c r="D99" s="3" t="s">
        <v>182</v>
      </c>
      <c r="E99" s="3" t="s">
        <v>201</v>
      </c>
      <c r="F99" s="26">
        <f t="shared" si="22"/>
        <v>4</v>
      </c>
      <c r="G99" s="26">
        <f t="shared" si="23"/>
        <v>2</v>
      </c>
      <c r="H99" s="25">
        <f t="shared" si="24"/>
        <v>2</v>
      </c>
      <c r="I99" s="13" t="str">
        <f t="shared" si="26"/>
        <v>RGC Hansa Rostock</v>
      </c>
      <c r="J99" s="2" t="str" cm="1">
        <f t="array" ref="J99">TRIM(RIGHT(E99,LEN(E99)-LOOKUP(2,1/(MID(E99,ROW($1:$60),1)=" "),ROW($1:$60))))</f>
        <v>2-4</v>
      </c>
      <c r="K99" s="2">
        <f t="shared" ref="K99:K106" si="29">VALUE(LEFT(J99,FIND("-",SUBSTITUTE(J99,":","-"))-1))</f>
        <v>2</v>
      </c>
      <c r="L99" s="2">
        <f t="shared" ref="L99:L106" si="30">VALUE(RIGHT(SUBSTITUTE(J99,":","-"),LEN(SUBSTITUTE(J99,":","-"))-FIND("-",SUBSTITUTE(J99,":","-"))))</f>
        <v>4</v>
      </c>
      <c r="M99" s="26">
        <f t="shared" si="25"/>
        <v>1</v>
      </c>
      <c r="N99" s="3" t="s">
        <v>1</v>
      </c>
      <c r="O99" s="3" t="s">
        <v>30</v>
      </c>
      <c r="P99" s="3" t="s">
        <v>4</v>
      </c>
      <c r="Q99" s="10">
        <f>IF(OR(O99="",P99=""),"",SUMIFS('1. Points System'!$E$3:$E$24,'1. Points System'!$C$3:$C$24,O99,'1. Points System'!$D$3:$D$24,P99))</f>
        <v>0</v>
      </c>
      <c r="R99" s="21"/>
      <c r="S99" s="6">
        <f t="shared" si="27"/>
        <v>0</v>
      </c>
      <c r="T99" s="20">
        <f t="shared" si="28"/>
        <v>0</v>
      </c>
      <c r="U99" s="42">
        <f>MasterDataTbl[[#This Row],[2026 Total Points]]+(MasterDataTbl[[#This Row],[Goal Difference]]/1000)</f>
        <v>2E-3</v>
      </c>
    </row>
    <row r="100" spans="1:21" x14ac:dyDescent="0.25">
      <c r="A100" s="41" t="s">
        <v>161</v>
      </c>
      <c r="B100" s="17" t="s">
        <v>162</v>
      </c>
      <c r="C100" s="3" t="s">
        <v>97</v>
      </c>
      <c r="D100" s="3" t="s">
        <v>182</v>
      </c>
      <c r="E100" s="3" t="s">
        <v>201</v>
      </c>
      <c r="F100" s="26">
        <f t="shared" si="22"/>
        <v>4</v>
      </c>
      <c r="G100" s="26">
        <f t="shared" si="23"/>
        <v>2</v>
      </c>
      <c r="H100" s="25">
        <f t="shared" si="24"/>
        <v>2</v>
      </c>
      <c r="I100" s="13" t="str">
        <f t="shared" si="26"/>
        <v>RGC Hansa Rostock</v>
      </c>
      <c r="J100" s="2" t="str" cm="1">
        <f t="array" ref="J100">TRIM(RIGHT(E100,LEN(E100)-LOOKUP(2,1/(MID(E100,ROW($1:$60),1)=" "),ROW($1:$60))))</f>
        <v>2-4</v>
      </c>
      <c r="K100" s="2">
        <f t="shared" si="29"/>
        <v>2</v>
      </c>
      <c r="L100" s="2">
        <f t="shared" si="30"/>
        <v>4</v>
      </c>
      <c r="M100" s="26">
        <f t="shared" si="25"/>
        <v>1</v>
      </c>
      <c r="N100" s="3" t="s">
        <v>1</v>
      </c>
      <c r="O100" s="3" t="s">
        <v>30</v>
      </c>
      <c r="P100" s="3" t="s">
        <v>3</v>
      </c>
      <c r="Q100" s="10">
        <f>IF(OR(O100="",P100=""),"",SUMIFS('1. Points System'!$E$3:$E$24,'1. Points System'!$C$3:$C$24,O100,'1. Points System'!$D$3:$D$24,P100))</f>
        <v>4.5</v>
      </c>
      <c r="R100" s="21"/>
      <c r="S100" s="6">
        <f t="shared" si="27"/>
        <v>4.5</v>
      </c>
      <c r="T100" s="20">
        <f t="shared" si="28"/>
        <v>2.25</v>
      </c>
      <c r="U100" s="42">
        <f>MasterDataTbl[[#This Row],[2026 Total Points]]+(MasterDataTbl[[#This Row],[Goal Difference]]/1000)</f>
        <v>4.5019999999999998</v>
      </c>
    </row>
    <row r="101" spans="1:21" x14ac:dyDescent="0.25">
      <c r="A101" s="41" t="s">
        <v>161</v>
      </c>
      <c r="B101" s="17" t="s">
        <v>162</v>
      </c>
      <c r="C101" s="3" t="s">
        <v>205</v>
      </c>
      <c r="D101" s="3" t="s">
        <v>183</v>
      </c>
      <c r="E101" s="3" t="s">
        <v>202</v>
      </c>
      <c r="F101" s="26">
        <f t="shared" si="22"/>
        <v>1</v>
      </c>
      <c r="G101" s="26">
        <f t="shared" si="23"/>
        <v>11</v>
      </c>
      <c r="H101" s="25">
        <f t="shared" ref="H101:H108" si="31">F101-G101</f>
        <v>-10</v>
      </c>
      <c r="I101" s="13" t="str">
        <f t="shared" si="26"/>
        <v>Isparta</v>
      </c>
      <c r="J101" s="2" t="str" cm="1">
        <f t="array" ref="J101">TRIM(RIGHT(E101,LEN(E101)-LOOKUP(2,1/(MID(E101,ROW($1:$60),1)=" "),ROW($1:$60))))</f>
        <v>1-11</v>
      </c>
      <c r="K101" s="2">
        <f t="shared" si="29"/>
        <v>1</v>
      </c>
      <c r="L101" s="2">
        <f t="shared" si="30"/>
        <v>11</v>
      </c>
      <c r="M101" s="26">
        <f t="shared" ref="M101:M164" si="32">IF(OR(O101="",ISNUMBER(IFERROR(SEARCH("special",O101),""))),0,1)</f>
        <v>1</v>
      </c>
      <c r="N101" s="3" t="s">
        <v>35</v>
      </c>
      <c r="O101" s="3" t="s">
        <v>7</v>
      </c>
      <c r="P101" s="3" t="s">
        <v>4</v>
      </c>
      <c r="Q101" s="10">
        <f>IF(OR(O101="",P101=""),"",SUMIFS('1. Points System'!$E$3:$E$24,'1. Points System'!$C$3:$C$24,O101,'1. Points System'!$D$3:$D$24,P101))</f>
        <v>0</v>
      </c>
      <c r="R101" s="21"/>
      <c r="S101" s="6">
        <f t="shared" si="27"/>
        <v>0</v>
      </c>
      <c r="T101" s="20">
        <f t="shared" si="28"/>
        <v>0</v>
      </c>
      <c r="U101" s="42">
        <f>MasterDataTbl[[#This Row],[2026 Total Points]]+(MasterDataTbl[[#This Row],[Goal Difference]]/1000)</f>
        <v>-0.01</v>
      </c>
    </row>
    <row r="102" spans="1:21" x14ac:dyDescent="0.25">
      <c r="A102" s="41" t="s">
        <v>161</v>
      </c>
      <c r="B102" s="17" t="s">
        <v>162</v>
      </c>
      <c r="C102" s="3" t="s">
        <v>100</v>
      </c>
      <c r="D102" s="3" t="s">
        <v>183</v>
      </c>
      <c r="E102" s="3" t="s">
        <v>202</v>
      </c>
      <c r="F102" s="26">
        <f t="shared" si="22"/>
        <v>11</v>
      </c>
      <c r="G102" s="26">
        <f t="shared" si="23"/>
        <v>1</v>
      </c>
      <c r="H102" s="25">
        <f t="shared" si="31"/>
        <v>10</v>
      </c>
      <c r="I102" s="13" t="str">
        <f t="shared" si="26"/>
        <v>Isparta</v>
      </c>
      <c r="J102" s="2" t="str" cm="1">
        <f t="array" ref="J102">TRIM(RIGHT(E102,LEN(E102)-LOOKUP(2,1/(MID(E102,ROW($1:$60),1)=" "),ROW($1:$60))))</f>
        <v>1-11</v>
      </c>
      <c r="K102" s="2">
        <f t="shared" si="29"/>
        <v>1</v>
      </c>
      <c r="L102" s="2">
        <f t="shared" si="30"/>
        <v>11</v>
      </c>
      <c r="M102" s="26">
        <f t="shared" si="32"/>
        <v>1</v>
      </c>
      <c r="N102" s="3" t="s">
        <v>35</v>
      </c>
      <c r="O102" s="3" t="s">
        <v>7</v>
      </c>
      <c r="P102" s="3" t="s">
        <v>3</v>
      </c>
      <c r="Q102" s="10">
        <f>IF(OR(O102="",P102=""),"",SUMIFS('1. Points System'!$E$3:$E$24,'1. Points System'!$C$3:$C$24,O102,'1. Points System'!$D$3:$D$24,P102))</f>
        <v>3</v>
      </c>
      <c r="R102" s="21"/>
      <c r="S102" s="6">
        <f t="shared" si="27"/>
        <v>3</v>
      </c>
      <c r="T102" s="20">
        <f t="shared" si="28"/>
        <v>1.5</v>
      </c>
      <c r="U102" s="42">
        <f>MasterDataTbl[[#This Row],[2026 Total Points]]+(MasterDataTbl[[#This Row],[Goal Difference]]/1000)</f>
        <v>3.01</v>
      </c>
    </row>
    <row r="103" spans="1:21" x14ac:dyDescent="0.25">
      <c r="A103" s="41" t="s">
        <v>161</v>
      </c>
      <c r="B103" s="17" t="s">
        <v>162</v>
      </c>
      <c r="C103" s="3" t="s">
        <v>53</v>
      </c>
      <c r="D103" s="3" t="s">
        <v>184</v>
      </c>
      <c r="E103" s="3" t="s">
        <v>212</v>
      </c>
      <c r="F103" s="26">
        <f t="shared" si="22"/>
        <v>7</v>
      </c>
      <c r="G103" s="26">
        <f t="shared" si="23"/>
        <v>4</v>
      </c>
      <c r="H103" s="25">
        <f t="shared" si="31"/>
        <v>3</v>
      </c>
      <c r="I103" s="13" t="str">
        <f t="shared" si="26"/>
        <v>Füchse Berlin</v>
      </c>
      <c r="J103" s="2" t="str" cm="1">
        <f t="array" ref="J103">TRIM(RIGHT(E103,LEN(E103)-LOOKUP(2,1/(MID(E103,ROW($1:$60),1)=" "),ROW($1:$60))))</f>
        <v>7-4</v>
      </c>
      <c r="K103" s="2">
        <f t="shared" si="29"/>
        <v>7</v>
      </c>
      <c r="L103" s="2">
        <f t="shared" si="30"/>
        <v>4</v>
      </c>
      <c r="M103" s="26">
        <f t="shared" si="32"/>
        <v>1</v>
      </c>
      <c r="N103" s="3" t="s">
        <v>35</v>
      </c>
      <c r="O103" s="3" t="s">
        <v>7</v>
      </c>
      <c r="P103" s="3" t="s">
        <v>3</v>
      </c>
      <c r="Q103" s="10">
        <f>IF(OR(O103="",P103=""),"",SUMIFS('1. Points System'!$E$3:$E$24,'1. Points System'!$C$3:$C$24,O103,'1. Points System'!$D$3:$D$24,P103))</f>
        <v>3</v>
      </c>
      <c r="R103" s="21"/>
      <c r="S103" s="6">
        <f t="shared" si="27"/>
        <v>3</v>
      </c>
      <c r="T103" s="20">
        <f t="shared" si="28"/>
        <v>1.5</v>
      </c>
      <c r="U103" s="42">
        <f>MasterDataTbl[[#This Row],[2026 Total Points]]+(MasterDataTbl[[#This Row],[Goal Difference]]/1000)</f>
        <v>3.0030000000000001</v>
      </c>
    </row>
    <row r="104" spans="1:21" x14ac:dyDescent="0.25">
      <c r="A104" s="41" t="s">
        <v>161</v>
      </c>
      <c r="B104" s="17" t="s">
        <v>162</v>
      </c>
      <c r="C104" s="3" t="s">
        <v>99</v>
      </c>
      <c r="D104" s="3" t="s">
        <v>184</v>
      </c>
      <c r="E104" s="3" t="s">
        <v>212</v>
      </c>
      <c r="F104" s="26">
        <f t="shared" si="22"/>
        <v>4</v>
      </c>
      <c r="G104" s="26">
        <f t="shared" si="23"/>
        <v>7</v>
      </c>
      <c r="H104" s="25">
        <f t="shared" si="31"/>
        <v>-3</v>
      </c>
      <c r="I104" s="13" t="str">
        <f t="shared" si="26"/>
        <v>Füchse Berlin</v>
      </c>
      <c r="J104" s="2" t="str" cm="1">
        <f t="array" ref="J104">TRIM(RIGHT(E104,LEN(E104)-LOOKUP(2,1/(MID(E104,ROW($1:$60),1)=" "),ROW($1:$60))))</f>
        <v>7-4</v>
      </c>
      <c r="K104" s="2">
        <f t="shared" si="29"/>
        <v>7</v>
      </c>
      <c r="L104" s="2">
        <f t="shared" si="30"/>
        <v>4</v>
      </c>
      <c r="M104" s="26">
        <f t="shared" si="32"/>
        <v>1</v>
      </c>
      <c r="N104" s="3" t="s">
        <v>35</v>
      </c>
      <c r="O104" s="3" t="s">
        <v>7</v>
      </c>
      <c r="P104" s="3" t="s">
        <v>4</v>
      </c>
      <c r="Q104" s="10">
        <f>IF(OR(O104="",P104=""),"",SUMIFS('1. Points System'!$E$3:$E$24,'1. Points System'!$C$3:$C$24,O104,'1. Points System'!$D$3:$D$24,P104))</f>
        <v>0</v>
      </c>
      <c r="R104" s="21"/>
      <c r="S104" s="6">
        <f t="shared" si="27"/>
        <v>0</v>
      </c>
      <c r="T104" s="20">
        <f t="shared" si="28"/>
        <v>0</v>
      </c>
      <c r="U104" s="42">
        <f>MasterDataTbl[[#This Row],[2026 Total Points]]+(MasterDataTbl[[#This Row],[Goal Difference]]/1000)</f>
        <v>-3.0000000000000001E-3</v>
      </c>
    </row>
    <row r="105" spans="1:21" x14ac:dyDescent="0.25">
      <c r="A105" s="41" t="s">
        <v>161</v>
      </c>
      <c r="B105" s="17" t="s">
        <v>162</v>
      </c>
      <c r="C105" s="3" t="s">
        <v>98</v>
      </c>
      <c r="D105" s="3" t="s">
        <v>185</v>
      </c>
      <c r="E105" s="3" t="s">
        <v>203</v>
      </c>
      <c r="F105" s="26">
        <f t="shared" si="22"/>
        <v>4</v>
      </c>
      <c r="G105" s="26">
        <f t="shared" si="23"/>
        <v>6</v>
      </c>
      <c r="H105" s="25">
        <f t="shared" si="31"/>
        <v>-2</v>
      </c>
      <c r="I105" s="13" t="str">
        <f t="shared" si="26"/>
        <v>FIFH Malmo</v>
      </c>
      <c r="J105" s="2" t="str" cm="1">
        <f t="array" ref="J105">TRIM(RIGHT(E105,LEN(E105)-LOOKUP(2,1/(MID(E105,ROW($1:$60),1)=" "),ROW($1:$60))))</f>
        <v>4-6</v>
      </c>
      <c r="K105" s="2">
        <f t="shared" si="29"/>
        <v>4</v>
      </c>
      <c r="L105" s="2">
        <f t="shared" si="30"/>
        <v>6</v>
      </c>
      <c r="M105" s="26">
        <f t="shared" si="32"/>
        <v>1</v>
      </c>
      <c r="N105" s="3" t="s">
        <v>2</v>
      </c>
      <c r="O105" s="3" t="s">
        <v>30</v>
      </c>
      <c r="P105" s="3" t="s">
        <v>4</v>
      </c>
      <c r="Q105" s="10">
        <f>IF(OR(O105="",P105=""),"",SUMIFS('1. Points System'!$E$3:$E$24,'1. Points System'!$C$3:$C$24,O105,'1. Points System'!$D$3:$D$24,P105))</f>
        <v>0</v>
      </c>
      <c r="R105" s="21"/>
      <c r="S105" s="6">
        <f t="shared" si="27"/>
        <v>0</v>
      </c>
      <c r="T105" s="20">
        <f t="shared" si="28"/>
        <v>0</v>
      </c>
      <c r="U105" s="42">
        <f>MasterDataTbl[[#This Row],[2026 Total Points]]+(MasterDataTbl[[#This Row],[Goal Difference]]/1000)</f>
        <v>-2E-3</v>
      </c>
    </row>
    <row r="106" spans="1:21" x14ac:dyDescent="0.25">
      <c r="A106" s="41" t="s">
        <v>161</v>
      </c>
      <c r="B106" s="17" t="s">
        <v>162</v>
      </c>
      <c r="C106" s="3" t="s">
        <v>50</v>
      </c>
      <c r="D106" s="3" t="s">
        <v>185</v>
      </c>
      <c r="E106" s="3" t="s">
        <v>203</v>
      </c>
      <c r="F106" s="26">
        <f t="shared" si="22"/>
        <v>6</v>
      </c>
      <c r="G106" s="26">
        <f t="shared" si="23"/>
        <v>4</v>
      </c>
      <c r="H106" s="25">
        <f t="shared" si="31"/>
        <v>2</v>
      </c>
      <c r="I106" s="13" t="str">
        <f t="shared" si="26"/>
        <v>FIFH Malmo</v>
      </c>
      <c r="J106" s="2" t="str" cm="1">
        <f t="array" ref="J106">TRIM(RIGHT(E106,LEN(E106)-LOOKUP(2,1/(MID(E106,ROW($1:$60),1)=" "),ROW($1:$60))))</f>
        <v>4-6</v>
      </c>
      <c r="K106" s="2">
        <f t="shared" si="29"/>
        <v>4</v>
      </c>
      <c r="L106" s="2">
        <f t="shared" si="30"/>
        <v>6</v>
      </c>
      <c r="M106" s="26">
        <f t="shared" si="32"/>
        <v>1</v>
      </c>
      <c r="N106" s="3" t="s">
        <v>2</v>
      </c>
      <c r="O106" s="3" t="s">
        <v>30</v>
      </c>
      <c r="P106" s="3" t="s">
        <v>3</v>
      </c>
      <c r="Q106" s="10">
        <f>IF(OR(O106="",P106=""),"",SUMIFS('1. Points System'!$E$3:$E$24,'1. Points System'!$C$3:$C$24,O106,'1. Points System'!$D$3:$D$24,P106))</f>
        <v>4.5</v>
      </c>
      <c r="R106" s="21"/>
      <c r="S106" s="6">
        <f t="shared" si="27"/>
        <v>4.5</v>
      </c>
      <c r="T106" s="20">
        <f t="shared" si="28"/>
        <v>2.25</v>
      </c>
      <c r="U106" s="42">
        <f>MasterDataTbl[[#This Row],[2026 Total Points]]+(MasterDataTbl[[#This Row],[Goal Difference]]/1000)</f>
        <v>4.5019999999999998</v>
      </c>
    </row>
    <row r="107" spans="1:21" x14ac:dyDescent="0.25">
      <c r="A107" s="41" t="s">
        <v>161</v>
      </c>
      <c r="B107" s="17" t="s">
        <v>162</v>
      </c>
      <c r="C107" s="3" t="s">
        <v>23</v>
      </c>
      <c r="D107" s="3" t="s">
        <v>186</v>
      </c>
      <c r="E107" s="3" t="s">
        <v>204</v>
      </c>
      <c r="F107" s="26">
        <f t="shared" si="22"/>
        <v>2</v>
      </c>
      <c r="G107" s="26">
        <f t="shared" si="23"/>
        <v>1</v>
      </c>
      <c r="H107" s="25">
        <f t="shared" si="31"/>
        <v>1</v>
      </c>
      <c r="I107" s="13" t="str">
        <f t="shared" si="26"/>
        <v>Old Power</v>
      </c>
      <c r="J107" s="2" t="str" cm="1">
        <f t="array" ref="J107">TRIM(RIGHT(E107,LEN(E107)-LOOKUP(2,1/(MID(E107,ROW($1:$60),1)=" "),ROW($1:$60))))</f>
        <v>2-1</v>
      </c>
      <c r="K107" s="2">
        <f t="shared" ref="K107:K170" si="33">VALUE(LEFT(J107,FIND("-",SUBSTITUTE(J107,":","-"))-1))</f>
        <v>2</v>
      </c>
      <c r="L107" s="2">
        <f t="shared" ref="L107:L170" si="34">VALUE(RIGHT(SUBSTITUTE(J107,":","-"),LEN(SUBSTITUTE(J107,":","-"))-FIND("-",SUBSTITUTE(J107,":","-"))))</f>
        <v>1</v>
      </c>
      <c r="M107" s="26">
        <f t="shared" si="32"/>
        <v>1</v>
      </c>
      <c r="N107" s="3" t="s">
        <v>2</v>
      </c>
      <c r="O107" s="3" t="s">
        <v>30</v>
      </c>
      <c r="P107" s="3" t="s">
        <v>3</v>
      </c>
      <c r="Q107" s="10">
        <f>IF(OR(O107="",P107=""),"",SUMIFS('1. Points System'!$E$3:$E$24,'1. Points System'!$C$3:$C$24,O107,'1. Points System'!$D$3:$D$24,P107))</f>
        <v>4.5</v>
      </c>
      <c r="R107" s="21"/>
      <c r="S107" s="6">
        <f t="shared" si="27"/>
        <v>4.5</v>
      </c>
      <c r="T107" s="20">
        <f t="shared" si="28"/>
        <v>2.25</v>
      </c>
      <c r="U107" s="42">
        <f>MasterDataTbl[[#This Row],[2026 Total Points]]+(MasterDataTbl[[#This Row],[Goal Difference]]/1000)</f>
        <v>4.5010000000000003</v>
      </c>
    </row>
    <row r="108" spans="1:21" x14ac:dyDescent="0.25">
      <c r="A108" s="41" t="s">
        <v>161</v>
      </c>
      <c r="B108" s="17" t="s">
        <v>162</v>
      </c>
      <c r="C108" s="3" t="s">
        <v>97</v>
      </c>
      <c r="D108" s="3" t="s">
        <v>186</v>
      </c>
      <c r="E108" s="3" t="s">
        <v>204</v>
      </c>
      <c r="F108" s="26">
        <f t="shared" si="22"/>
        <v>1</v>
      </c>
      <c r="G108" s="26">
        <f t="shared" si="23"/>
        <v>2</v>
      </c>
      <c r="H108" s="25">
        <f t="shared" si="31"/>
        <v>-1</v>
      </c>
      <c r="I108" s="13" t="str">
        <f t="shared" si="26"/>
        <v>Old Power</v>
      </c>
      <c r="J108" s="2" t="str" cm="1">
        <f t="array" ref="J108">TRIM(RIGHT(E108,LEN(E108)-LOOKUP(2,1/(MID(E108,ROW($1:$60),1)=" "),ROW($1:$60))))</f>
        <v>2-1</v>
      </c>
      <c r="K108" s="2">
        <f t="shared" si="33"/>
        <v>2</v>
      </c>
      <c r="L108" s="2">
        <f t="shared" si="34"/>
        <v>1</v>
      </c>
      <c r="M108" s="26">
        <f t="shared" si="32"/>
        <v>1</v>
      </c>
      <c r="N108" s="3" t="s">
        <v>2</v>
      </c>
      <c r="O108" s="3" t="s">
        <v>30</v>
      </c>
      <c r="P108" s="3" t="s">
        <v>4</v>
      </c>
      <c r="Q108" s="10">
        <f>IF(OR(O108="",P108=""),"",SUMIFS('1. Points System'!$E$3:$E$24,'1. Points System'!$C$3:$C$24,O108,'1. Points System'!$D$3:$D$24,P108))</f>
        <v>0</v>
      </c>
      <c r="R108" s="21"/>
      <c r="S108" s="6">
        <f t="shared" si="27"/>
        <v>0</v>
      </c>
      <c r="T108" s="20">
        <f t="shared" si="28"/>
        <v>0</v>
      </c>
      <c r="U108" s="42">
        <f>MasterDataTbl[[#This Row],[2026 Total Points]]+(MasterDataTbl[[#This Row],[Goal Difference]]/1000)</f>
        <v>-1E-3</v>
      </c>
    </row>
    <row r="109" spans="1:21" x14ac:dyDescent="0.25">
      <c r="A109" s="41"/>
      <c r="B109" s="17"/>
      <c r="C109" s="3"/>
      <c r="D109" s="4"/>
      <c r="E109" s="3"/>
      <c r="F109" s="26" t="str">
        <f t="shared" si="22"/>
        <v/>
      </c>
      <c r="G109" s="26" t="str">
        <f t="shared" si="23"/>
        <v/>
      </c>
      <c r="H109" s="25"/>
      <c r="I109" s="13"/>
      <c r="J109" s="2"/>
      <c r="K109" s="2"/>
      <c r="L109" s="2"/>
      <c r="M109" s="26"/>
      <c r="N109" s="3"/>
      <c r="O109" s="3"/>
      <c r="P109" s="3"/>
      <c r="Q109" s="10" t="str">
        <f>IF(OR(O109="",P109=""),"",SUMIFS('1. Points System'!$E$3:$E$24,'1. Points System'!$C$3:$C$24,O109,'1. Points System'!$D$3:$D$24,P109))</f>
        <v/>
      </c>
      <c r="R109" s="21"/>
      <c r="S109" s="6" t="str">
        <f t="shared" si="27"/>
        <v/>
      </c>
      <c r="T109" s="20" t="e">
        <f t="shared" si="28"/>
        <v>#VALUE!</v>
      </c>
      <c r="U109" s="42" t="e">
        <f>MasterDataTbl[[#This Row],[2026 Total Points]]+(MasterDataTbl[[#This Row],[Goal Difference]]/1000)</f>
        <v>#VALUE!</v>
      </c>
    </row>
    <row r="110" spans="1:21" x14ac:dyDescent="0.25">
      <c r="A110" s="41"/>
      <c r="B110" s="17"/>
      <c r="C110" s="3"/>
      <c r="D110" s="4"/>
      <c r="E110" s="3"/>
      <c r="F110" s="26" t="str">
        <f t="shared" si="22"/>
        <v/>
      </c>
      <c r="G110" s="26" t="str">
        <f t="shared" si="23"/>
        <v/>
      </c>
      <c r="H110" s="25"/>
      <c r="I110" s="13"/>
      <c r="J110" s="2"/>
      <c r="K110" s="2"/>
      <c r="L110" s="2"/>
      <c r="M110" s="26"/>
      <c r="N110" s="3"/>
      <c r="O110" s="3"/>
      <c r="P110" s="3"/>
      <c r="Q110" s="10" t="str">
        <f>IF(OR(O110="",P110=""),"",SUMIFS('1. Points System'!$E$3:$E$24,'1. Points System'!$C$3:$C$24,O110,'1. Points System'!$D$3:$D$24,P110))</f>
        <v/>
      </c>
      <c r="R110" s="21"/>
      <c r="S110" s="6" t="str">
        <f t="shared" si="27"/>
        <v/>
      </c>
      <c r="T110" s="20" t="e">
        <f t="shared" si="28"/>
        <v>#VALUE!</v>
      </c>
      <c r="U110" s="42" t="e">
        <f>MasterDataTbl[[#This Row],[2026 Total Points]]+(MasterDataTbl[[#This Row],[Goal Difference]]/1000)</f>
        <v>#VALUE!</v>
      </c>
    </row>
    <row r="111" spans="1:21" x14ac:dyDescent="0.25">
      <c r="A111" s="41"/>
      <c r="B111" s="17"/>
      <c r="C111" s="3"/>
      <c r="D111" s="4"/>
      <c r="E111" s="3"/>
      <c r="F111" s="26" t="str">
        <f t="shared" si="22"/>
        <v/>
      </c>
      <c r="G111" s="26" t="str">
        <f t="shared" si="23"/>
        <v/>
      </c>
      <c r="H111" s="25"/>
      <c r="I111" s="13"/>
      <c r="J111" s="2"/>
      <c r="K111" s="2"/>
      <c r="L111" s="2"/>
      <c r="M111" s="26"/>
      <c r="N111" s="3"/>
      <c r="O111" s="3"/>
      <c r="P111" s="3"/>
      <c r="Q111" s="10" t="str">
        <f>IF(OR(O111="",P111=""),"",SUMIFS('1. Points System'!$E$3:$E$24,'1. Points System'!$C$3:$C$24,O111,'1. Points System'!$D$3:$D$24,P111))</f>
        <v/>
      </c>
      <c r="R111" s="21"/>
      <c r="S111" s="6" t="str">
        <f t="shared" si="27"/>
        <v/>
      </c>
      <c r="T111" s="20" t="e">
        <f t="shared" si="28"/>
        <v>#VALUE!</v>
      </c>
      <c r="U111" s="42" t="e">
        <f>MasterDataTbl[[#This Row],[2026 Total Points]]+(MasterDataTbl[[#This Row],[Goal Difference]]/1000)</f>
        <v>#VALUE!</v>
      </c>
    </row>
    <row r="112" spans="1:21" x14ac:dyDescent="0.25">
      <c r="A112" s="41"/>
      <c r="B112" s="17"/>
      <c r="C112" s="3"/>
      <c r="D112" s="3"/>
      <c r="E112" s="3"/>
      <c r="F112" s="26" t="str">
        <f t="shared" si="22"/>
        <v/>
      </c>
      <c r="G112" s="26" t="str">
        <f t="shared" si="23"/>
        <v/>
      </c>
      <c r="H112" s="25"/>
      <c r="I112" s="13"/>
      <c r="J112" s="2"/>
      <c r="K112" s="2"/>
      <c r="L112" s="2"/>
      <c r="M112" s="26"/>
      <c r="N112" s="3"/>
      <c r="O112" s="3"/>
      <c r="P112" s="3"/>
      <c r="Q112" s="10" t="str">
        <f>IF(OR(O112="",P112=""),"",SUMIFS('1. Points System'!$E$3:$E$24,'1. Points System'!$C$3:$C$24,O112,'1. Points System'!$D$3:$D$24,P112))</f>
        <v/>
      </c>
      <c r="R112" s="21"/>
      <c r="S112" s="6" t="str">
        <f t="shared" si="27"/>
        <v/>
      </c>
      <c r="T112" s="20" t="e">
        <f t="shared" si="28"/>
        <v>#VALUE!</v>
      </c>
      <c r="U112" s="42" t="e">
        <f>MasterDataTbl[[#This Row],[2026 Total Points]]+(MasterDataTbl[[#This Row],[Goal Difference]]/1000)</f>
        <v>#VALUE!</v>
      </c>
    </row>
    <row r="113" spans="1:21" x14ac:dyDescent="0.25">
      <c r="A113" s="41"/>
      <c r="B113" s="17"/>
      <c r="C113" s="3"/>
      <c r="D113" s="3"/>
      <c r="E113" s="3"/>
      <c r="F113" s="26" t="str">
        <f t="shared" si="22"/>
        <v/>
      </c>
      <c r="G113" s="26" t="str">
        <f t="shared" si="23"/>
        <v/>
      </c>
      <c r="H113" s="25"/>
      <c r="I113" s="13"/>
      <c r="J113" s="2"/>
      <c r="K113" s="2"/>
      <c r="L113" s="2"/>
      <c r="M113" s="26"/>
      <c r="N113" s="3"/>
      <c r="O113" s="3"/>
      <c r="P113" s="3"/>
      <c r="Q113" s="10" t="str">
        <f>IF(OR(O113="",P113=""),"",SUMIFS('1. Points System'!$E$3:$E$24,'1. Points System'!$C$3:$C$24,O113,'1. Points System'!$D$3:$D$24,P113))</f>
        <v/>
      </c>
      <c r="R113" s="21"/>
      <c r="S113" s="6" t="str">
        <f t="shared" si="27"/>
        <v/>
      </c>
      <c r="T113" s="20" t="e">
        <f t="shared" si="28"/>
        <v>#VALUE!</v>
      </c>
      <c r="U113" s="42" t="e">
        <f>MasterDataTbl[[#This Row],[2026 Total Points]]+(MasterDataTbl[[#This Row],[Goal Difference]]/1000)</f>
        <v>#VALUE!</v>
      </c>
    </row>
    <row r="114" spans="1:21" x14ac:dyDescent="0.25">
      <c r="A114" s="41"/>
      <c r="B114" s="17"/>
      <c r="C114" s="3"/>
      <c r="D114" s="3"/>
      <c r="E114" s="3"/>
      <c r="F114" s="26" t="str">
        <f t="shared" si="22"/>
        <v/>
      </c>
      <c r="G114" s="26" t="str">
        <f t="shared" si="23"/>
        <v/>
      </c>
      <c r="H114" s="25"/>
      <c r="I114" s="13"/>
      <c r="J114" s="2"/>
      <c r="K114" s="2"/>
      <c r="L114" s="2"/>
      <c r="M114" s="26"/>
      <c r="N114" s="3"/>
      <c r="O114" s="3"/>
      <c r="P114" s="3"/>
      <c r="Q114" s="10" t="str">
        <f>IF(OR(O114="",P114=""),"",SUMIFS('1. Points System'!$E$3:$E$24,'1. Points System'!$C$3:$C$24,O114,'1. Points System'!$D$3:$D$24,P114))</f>
        <v/>
      </c>
      <c r="R114" s="21"/>
      <c r="S114" s="6" t="str">
        <f t="shared" si="27"/>
        <v/>
      </c>
      <c r="T114" s="20" t="e">
        <f t="shared" si="28"/>
        <v>#VALUE!</v>
      </c>
      <c r="U114" s="42" t="e">
        <f>MasterDataTbl[[#This Row],[2026 Total Points]]+(MasterDataTbl[[#This Row],[Goal Difference]]/1000)</f>
        <v>#VALUE!</v>
      </c>
    </row>
    <row r="115" spans="1:21" x14ac:dyDescent="0.25">
      <c r="A115" s="41"/>
      <c r="B115" s="17"/>
      <c r="C115" s="3"/>
      <c r="D115" s="3"/>
      <c r="E115" s="3"/>
      <c r="F115" s="26" t="str">
        <f t="shared" si="22"/>
        <v/>
      </c>
      <c r="G115" s="26" t="str">
        <f t="shared" si="23"/>
        <v/>
      </c>
      <c r="H115" s="25"/>
      <c r="I115" s="13"/>
      <c r="J115" s="2"/>
      <c r="K115" s="2"/>
      <c r="L115" s="2"/>
      <c r="M115" s="26"/>
      <c r="N115" s="3"/>
      <c r="O115" s="3"/>
      <c r="P115" s="3"/>
      <c r="Q115" s="10" t="str">
        <f>IF(OR(O115="",P115=""),"",SUMIFS('1. Points System'!$E$3:$E$24,'1. Points System'!$C$3:$C$24,O115,'1. Points System'!$D$3:$D$24,P115))</f>
        <v/>
      </c>
      <c r="R115" s="21"/>
      <c r="S115" s="6" t="str">
        <f t="shared" si="27"/>
        <v/>
      </c>
      <c r="T115" s="20" t="e">
        <f t="shared" si="28"/>
        <v>#VALUE!</v>
      </c>
      <c r="U115" s="42" t="e">
        <f>MasterDataTbl[[#This Row],[2026 Total Points]]+(MasterDataTbl[[#This Row],[Goal Difference]]/1000)</f>
        <v>#VALUE!</v>
      </c>
    </row>
    <row r="116" spans="1:21" x14ac:dyDescent="0.25">
      <c r="A116" s="41"/>
      <c r="B116" s="17"/>
      <c r="C116" s="3"/>
      <c r="D116" s="3"/>
      <c r="E116" s="3"/>
      <c r="F116" s="26" t="str">
        <f t="shared" si="22"/>
        <v/>
      </c>
      <c r="G116" s="26" t="str">
        <f t="shared" si="23"/>
        <v/>
      </c>
      <c r="H116" s="25"/>
      <c r="I116" s="13"/>
      <c r="J116" s="2"/>
      <c r="K116" s="2"/>
      <c r="L116" s="2"/>
      <c r="M116" s="26"/>
      <c r="N116" s="3"/>
      <c r="O116" s="3"/>
      <c r="P116" s="3"/>
      <c r="Q116" s="10" t="str">
        <f>IF(OR(O116="",P116=""),"",SUMIFS('1. Points System'!$E$3:$E$24,'1. Points System'!$C$3:$C$24,O116,'1. Points System'!$D$3:$D$24,P116))</f>
        <v/>
      </c>
      <c r="R116" s="21"/>
      <c r="S116" s="6" t="str">
        <f t="shared" si="27"/>
        <v/>
      </c>
      <c r="T116" s="20" t="e">
        <f t="shared" si="28"/>
        <v>#VALUE!</v>
      </c>
      <c r="U116" s="42" t="e">
        <f>MasterDataTbl[[#This Row],[2026 Total Points]]+(MasterDataTbl[[#This Row],[Goal Difference]]/1000)</f>
        <v>#VALUE!</v>
      </c>
    </row>
    <row r="117" spans="1:21" x14ac:dyDescent="0.25">
      <c r="A117" s="41"/>
      <c r="B117" s="17"/>
      <c r="C117" s="3"/>
      <c r="D117" s="3"/>
      <c r="E117" s="3"/>
      <c r="F117" s="26" t="str">
        <f t="shared" si="22"/>
        <v/>
      </c>
      <c r="G117" s="26" t="str">
        <f t="shared" si="23"/>
        <v/>
      </c>
      <c r="H117" s="25"/>
      <c r="I117" s="13"/>
      <c r="J117" s="2"/>
      <c r="K117" s="2"/>
      <c r="L117" s="2"/>
      <c r="M117" s="26"/>
      <c r="N117" s="3"/>
      <c r="O117" s="3"/>
      <c r="P117" s="3"/>
      <c r="Q117" s="10" t="str">
        <f>IF(OR(O117="",P117=""),"",SUMIFS('1. Points System'!$E$3:$E$24,'1. Points System'!$C$3:$C$24,O117,'1. Points System'!$D$3:$D$24,P117))</f>
        <v/>
      </c>
      <c r="R117" s="21"/>
      <c r="S117" s="6" t="str">
        <f t="shared" si="27"/>
        <v/>
      </c>
      <c r="T117" s="20" t="e">
        <f t="shared" si="28"/>
        <v>#VALUE!</v>
      </c>
      <c r="U117" s="42" t="e">
        <f>MasterDataTbl[[#This Row],[2026 Total Points]]+(MasterDataTbl[[#This Row],[Goal Difference]]/1000)</f>
        <v>#VALUE!</v>
      </c>
    </row>
    <row r="118" spans="1:21" x14ac:dyDescent="0.25">
      <c r="A118" s="41"/>
      <c r="B118" s="17"/>
      <c r="C118" s="3"/>
      <c r="D118" s="3"/>
      <c r="E118" s="3"/>
      <c r="F118" s="26" t="str">
        <f t="shared" si="22"/>
        <v/>
      </c>
      <c r="G118" s="26" t="str">
        <f t="shared" si="23"/>
        <v/>
      </c>
      <c r="H118" s="25"/>
      <c r="I118" s="13"/>
      <c r="J118" s="2"/>
      <c r="K118" s="2"/>
      <c r="L118" s="2"/>
      <c r="M118" s="26"/>
      <c r="N118" s="3"/>
      <c r="O118" s="3"/>
      <c r="P118" s="3"/>
      <c r="Q118" s="10" t="str">
        <f>IF(OR(O118="",P118=""),"",SUMIFS('1. Points System'!$E$3:$E$24,'1. Points System'!$C$3:$C$24,O118,'1. Points System'!$D$3:$D$24,P118))</f>
        <v/>
      </c>
      <c r="R118" s="21"/>
      <c r="S118" s="6" t="str">
        <f t="shared" si="27"/>
        <v/>
      </c>
      <c r="T118" s="20" t="e">
        <f t="shared" si="28"/>
        <v>#VALUE!</v>
      </c>
      <c r="U118" s="42" t="e">
        <f>MasterDataTbl[[#This Row],[2026 Total Points]]+(MasterDataTbl[[#This Row],[Goal Difference]]/1000)</f>
        <v>#VALUE!</v>
      </c>
    </row>
    <row r="119" spans="1:21" x14ac:dyDescent="0.25">
      <c r="A119" s="41"/>
      <c r="B119" s="17"/>
      <c r="C119" s="3"/>
      <c r="D119" s="3"/>
      <c r="E119" s="3"/>
      <c r="F119" s="26" t="str">
        <f t="shared" si="22"/>
        <v/>
      </c>
      <c r="G119" s="26" t="str">
        <f t="shared" si="23"/>
        <v/>
      </c>
      <c r="H119" s="25"/>
      <c r="I119" s="13"/>
      <c r="J119" s="2"/>
      <c r="K119" s="2"/>
      <c r="L119" s="2"/>
      <c r="M119" s="26"/>
      <c r="N119" s="3"/>
      <c r="O119" s="3"/>
      <c r="P119" s="3"/>
      <c r="Q119" s="10" t="str">
        <f>IF(OR(O119="",P119=""),"",SUMIFS('1. Points System'!$E$3:$E$24,'1. Points System'!$C$3:$C$24,O119,'1. Points System'!$D$3:$D$24,P119))</f>
        <v/>
      </c>
      <c r="R119" s="21"/>
      <c r="S119" s="6" t="str">
        <f t="shared" si="27"/>
        <v/>
      </c>
      <c r="T119" s="20" t="e">
        <f t="shared" si="28"/>
        <v>#VALUE!</v>
      </c>
      <c r="U119" s="42" t="e">
        <f>MasterDataTbl[[#This Row],[2026 Total Points]]+(MasterDataTbl[[#This Row],[Goal Difference]]/1000)</f>
        <v>#VALUE!</v>
      </c>
    </row>
    <row r="120" spans="1:21" x14ac:dyDescent="0.25">
      <c r="A120" s="41"/>
      <c r="B120" s="17"/>
      <c r="C120" s="3"/>
      <c r="D120" s="3"/>
      <c r="E120" s="3"/>
      <c r="F120" s="26" t="str">
        <f t="shared" si="22"/>
        <v/>
      </c>
      <c r="G120" s="26" t="str">
        <f t="shared" si="23"/>
        <v/>
      </c>
      <c r="H120" s="25"/>
      <c r="I120" s="13"/>
      <c r="J120" s="2"/>
      <c r="K120" s="2"/>
      <c r="L120" s="2"/>
      <c r="M120" s="26"/>
      <c r="N120" s="3"/>
      <c r="O120" s="3"/>
      <c r="P120" s="3"/>
      <c r="Q120" s="10" t="str">
        <f>IF(OR(O120="",P120=""),"",SUMIFS('1. Points System'!$E$3:$E$24,'1. Points System'!$C$3:$C$24,O120,'1. Points System'!$D$3:$D$24,P120))</f>
        <v/>
      </c>
      <c r="R120" s="21"/>
      <c r="S120" s="6" t="str">
        <f t="shared" si="27"/>
        <v/>
      </c>
      <c r="T120" s="20" t="e">
        <f t="shared" si="28"/>
        <v>#VALUE!</v>
      </c>
      <c r="U120" s="42" t="e">
        <f>MasterDataTbl[[#This Row],[2026 Total Points]]+(MasterDataTbl[[#This Row],[Goal Difference]]/1000)</f>
        <v>#VALUE!</v>
      </c>
    </row>
    <row r="121" spans="1:21" x14ac:dyDescent="0.25">
      <c r="A121" s="41"/>
      <c r="B121" s="17"/>
      <c r="C121" s="3"/>
      <c r="D121" s="3"/>
      <c r="E121" s="3"/>
      <c r="F121" s="26" t="str">
        <f t="shared" si="22"/>
        <v/>
      </c>
      <c r="G121" s="26" t="str">
        <f t="shared" si="23"/>
        <v/>
      </c>
      <c r="H121" s="25"/>
      <c r="I121" s="13"/>
      <c r="J121" s="2"/>
      <c r="K121" s="2"/>
      <c r="L121" s="2"/>
      <c r="M121" s="26"/>
      <c r="N121" s="3"/>
      <c r="O121" s="3"/>
      <c r="P121" s="3"/>
      <c r="Q121" s="10" t="str">
        <f>IF(OR(O121="",P121=""),"",SUMIFS('1. Points System'!$E$3:$E$24,'1. Points System'!$C$3:$C$24,O121,'1. Points System'!$D$3:$D$24,P121))</f>
        <v/>
      </c>
      <c r="R121" s="21"/>
      <c r="S121" s="6" t="str">
        <f t="shared" si="27"/>
        <v/>
      </c>
      <c r="T121" s="20" t="e">
        <f t="shared" si="28"/>
        <v>#VALUE!</v>
      </c>
      <c r="U121" s="42" t="e">
        <f>MasterDataTbl[[#This Row],[2026 Total Points]]+(MasterDataTbl[[#This Row],[Goal Difference]]/1000)</f>
        <v>#VALUE!</v>
      </c>
    </row>
    <row r="122" spans="1:21" x14ac:dyDescent="0.25">
      <c r="A122" s="41"/>
      <c r="B122" s="17"/>
      <c r="C122" s="3"/>
      <c r="D122" s="4"/>
      <c r="E122" s="3"/>
      <c r="F122" s="26" t="str">
        <f t="shared" si="22"/>
        <v/>
      </c>
      <c r="G122" s="26" t="str">
        <f t="shared" si="23"/>
        <v/>
      </c>
      <c r="H122" s="25"/>
      <c r="I122" s="13"/>
      <c r="J122" s="2"/>
      <c r="K122" s="2"/>
      <c r="L122" s="2"/>
      <c r="M122" s="26"/>
      <c r="N122" s="3"/>
      <c r="O122" s="3"/>
      <c r="P122" s="3"/>
      <c r="Q122" s="10" t="str">
        <f>IF(OR(O122="",P122=""),"",SUMIFS('1. Points System'!$E$3:$E$24,'1. Points System'!$C$3:$C$24,O122,'1. Points System'!$D$3:$D$24,P122))</f>
        <v/>
      </c>
      <c r="R122" s="21"/>
      <c r="S122" s="6" t="str">
        <f t="shared" si="27"/>
        <v/>
      </c>
      <c r="T122" s="20" t="e">
        <f t="shared" si="28"/>
        <v>#VALUE!</v>
      </c>
      <c r="U122" s="42" t="e">
        <f>MasterDataTbl[[#This Row],[2026 Total Points]]+(MasterDataTbl[[#This Row],[Goal Difference]]/1000)</f>
        <v>#VALUE!</v>
      </c>
    </row>
    <row r="123" spans="1:21" x14ac:dyDescent="0.25">
      <c r="A123" s="41"/>
      <c r="B123" s="17"/>
      <c r="C123" s="3"/>
      <c r="D123" s="3"/>
      <c r="E123" s="3"/>
      <c r="F123" s="26" t="str">
        <f t="shared" si="22"/>
        <v/>
      </c>
      <c r="G123" s="26" t="str">
        <f t="shared" si="23"/>
        <v/>
      </c>
      <c r="H123" s="25"/>
      <c r="I123" s="13"/>
      <c r="J123" s="2"/>
      <c r="K123" s="2"/>
      <c r="L123" s="2"/>
      <c r="M123" s="26"/>
      <c r="N123" s="3"/>
      <c r="O123" s="3"/>
      <c r="P123" s="3"/>
      <c r="Q123" s="10" t="str">
        <f>IF(OR(O123="",P123=""),"",SUMIFS('1. Points System'!$E$3:$E$24,'1. Points System'!$C$3:$C$24,O123,'1. Points System'!$D$3:$D$24,P123))</f>
        <v/>
      </c>
      <c r="R123" s="21"/>
      <c r="S123" s="6" t="str">
        <f t="shared" si="27"/>
        <v/>
      </c>
      <c r="T123" s="20" t="e">
        <f t="shared" si="28"/>
        <v>#VALUE!</v>
      </c>
      <c r="U123" s="42" t="e">
        <f>MasterDataTbl[[#This Row],[2026 Total Points]]+(MasterDataTbl[[#This Row],[Goal Difference]]/1000)</f>
        <v>#VALUE!</v>
      </c>
    </row>
    <row r="124" spans="1:21" x14ac:dyDescent="0.25">
      <c r="A124" s="41"/>
      <c r="B124" s="17"/>
      <c r="C124" s="3"/>
      <c r="D124" s="3"/>
      <c r="E124" s="3"/>
      <c r="F124" s="26" t="str">
        <f t="shared" si="22"/>
        <v/>
      </c>
      <c r="G124" s="26" t="str">
        <f t="shared" si="23"/>
        <v/>
      </c>
      <c r="H124" s="25"/>
      <c r="I124" s="13"/>
      <c r="J124" s="2"/>
      <c r="K124" s="2"/>
      <c r="L124" s="2"/>
      <c r="M124" s="26"/>
      <c r="N124" s="3"/>
      <c r="O124" s="3"/>
      <c r="P124" s="3"/>
      <c r="Q124" s="10" t="str">
        <f>IF(OR(O124="",P124=""),"",SUMIFS('1. Points System'!$E$3:$E$24,'1. Points System'!$C$3:$C$24,O124,'1. Points System'!$D$3:$D$24,P124))</f>
        <v/>
      </c>
      <c r="R124" s="21"/>
      <c r="S124" s="6" t="str">
        <f t="shared" si="27"/>
        <v/>
      </c>
      <c r="T124" s="20" t="e">
        <f t="shared" si="28"/>
        <v>#VALUE!</v>
      </c>
      <c r="U124" s="42" t="e">
        <f>MasterDataTbl[[#This Row],[2026 Total Points]]+(MasterDataTbl[[#This Row],[Goal Difference]]/1000)</f>
        <v>#VALUE!</v>
      </c>
    </row>
    <row r="125" spans="1:21" x14ac:dyDescent="0.25">
      <c r="A125" s="41"/>
      <c r="B125" s="17"/>
      <c r="C125" s="3"/>
      <c r="D125" s="3"/>
      <c r="E125" s="3"/>
      <c r="F125" s="26" t="str">
        <f t="shared" si="22"/>
        <v/>
      </c>
      <c r="G125" s="26" t="str">
        <f t="shared" si="23"/>
        <v/>
      </c>
      <c r="H125" s="25"/>
      <c r="I125" s="13"/>
      <c r="J125" s="2"/>
      <c r="K125" s="2"/>
      <c r="L125" s="2"/>
      <c r="M125" s="26"/>
      <c r="N125" s="3"/>
      <c r="O125" s="3"/>
      <c r="P125" s="3"/>
      <c r="Q125" s="10" t="str">
        <f>IF(OR(O125="",P125=""),"",SUMIFS('1. Points System'!$E$3:$E$24,'1. Points System'!$C$3:$C$24,O125,'1. Points System'!$D$3:$D$24,P125))</f>
        <v/>
      </c>
      <c r="R125" s="21"/>
      <c r="S125" s="6" t="str">
        <f t="shared" ref="S125:S156" si="35">Q125</f>
        <v/>
      </c>
      <c r="T125" s="20" t="e">
        <f t="shared" ref="T125:T156" si="36">S125/2</f>
        <v>#VALUE!</v>
      </c>
      <c r="U125" s="42" t="e">
        <f>MasterDataTbl[[#This Row],[2026 Total Points]]+(MasterDataTbl[[#This Row],[Goal Difference]]/1000)</f>
        <v>#VALUE!</v>
      </c>
    </row>
    <row r="126" spans="1:21" x14ac:dyDescent="0.25">
      <c r="A126" s="41"/>
      <c r="B126" s="17"/>
      <c r="C126" s="3"/>
      <c r="D126" s="3"/>
      <c r="E126" s="3"/>
      <c r="F126" s="26" t="str">
        <f t="shared" si="22"/>
        <v/>
      </c>
      <c r="G126" s="26" t="str">
        <f t="shared" si="23"/>
        <v/>
      </c>
      <c r="H126" s="25"/>
      <c r="I126" s="13"/>
      <c r="J126" s="2"/>
      <c r="K126" s="2"/>
      <c r="L126" s="2"/>
      <c r="M126" s="26"/>
      <c r="N126" s="3"/>
      <c r="O126" s="3"/>
      <c r="P126" s="3"/>
      <c r="Q126" s="10" t="str">
        <f>IF(OR(O126="",P126=""),"",SUMIFS('1. Points System'!$E$3:$E$24,'1. Points System'!$C$3:$C$24,O126,'1. Points System'!$D$3:$D$24,P126))</f>
        <v/>
      </c>
      <c r="R126" s="21"/>
      <c r="S126" s="6" t="str">
        <f t="shared" si="35"/>
        <v/>
      </c>
      <c r="T126" s="20" t="e">
        <f t="shared" si="36"/>
        <v>#VALUE!</v>
      </c>
      <c r="U126" s="42" t="e">
        <f>MasterDataTbl[[#This Row],[2026 Total Points]]+(MasterDataTbl[[#This Row],[Goal Difference]]/1000)</f>
        <v>#VALUE!</v>
      </c>
    </row>
    <row r="127" spans="1:21" x14ac:dyDescent="0.25">
      <c r="A127" s="41"/>
      <c r="B127" s="16"/>
      <c r="C127" s="3"/>
      <c r="D127" s="3"/>
      <c r="E127" s="3"/>
      <c r="F127" s="26" t="str">
        <f t="shared" si="22"/>
        <v/>
      </c>
      <c r="G127" s="26" t="str">
        <f t="shared" si="23"/>
        <v/>
      </c>
      <c r="H127" s="25"/>
      <c r="I127" s="13"/>
      <c r="J127" s="2"/>
      <c r="K127" s="2"/>
      <c r="L127" s="2"/>
      <c r="M127" s="26"/>
      <c r="N127" s="3"/>
      <c r="O127" s="3"/>
      <c r="P127" s="3"/>
      <c r="Q127" s="10" t="str">
        <f>IF(OR(O127="",P127=""),"",SUMIFS('1. Points System'!$E$3:$E$24,'1. Points System'!$C$3:$C$24,O127,'1. Points System'!$D$3:$D$24,P127))</f>
        <v/>
      </c>
      <c r="R127" s="21"/>
      <c r="S127" s="6" t="str">
        <f t="shared" si="35"/>
        <v/>
      </c>
      <c r="T127" s="20" t="e">
        <f t="shared" si="36"/>
        <v>#VALUE!</v>
      </c>
      <c r="U127" s="42" t="e">
        <f>MasterDataTbl[[#This Row],[2026 Total Points]]+(MasterDataTbl[[#This Row],[Goal Difference]]/1000)</f>
        <v>#VALUE!</v>
      </c>
    </row>
    <row r="128" spans="1:21" x14ac:dyDescent="0.25">
      <c r="A128" s="41"/>
      <c r="B128" s="16"/>
      <c r="C128" s="3"/>
      <c r="D128" s="3"/>
      <c r="E128" s="3"/>
      <c r="F128" s="26" t="str">
        <f t="shared" si="22"/>
        <v/>
      </c>
      <c r="G128" s="26" t="str">
        <f t="shared" si="23"/>
        <v/>
      </c>
      <c r="H128" s="25"/>
      <c r="I128" s="13"/>
      <c r="J128" s="2"/>
      <c r="K128" s="2"/>
      <c r="L128" s="2"/>
      <c r="M128" s="26"/>
      <c r="N128" s="3"/>
      <c r="O128" s="3"/>
      <c r="P128" s="3"/>
      <c r="Q128" s="10" t="str">
        <f>IF(OR(O128="",P128=""),"",SUMIFS('1. Points System'!$E$3:$E$24,'1. Points System'!$C$3:$C$24,O128,'1. Points System'!$D$3:$D$24,P128))</f>
        <v/>
      </c>
      <c r="R128" s="21"/>
      <c r="S128" s="6" t="str">
        <f t="shared" si="35"/>
        <v/>
      </c>
      <c r="T128" s="20" t="e">
        <f t="shared" si="36"/>
        <v>#VALUE!</v>
      </c>
      <c r="U128" s="42" t="e">
        <f>MasterDataTbl[[#This Row],[2026 Total Points]]+(MasterDataTbl[[#This Row],[Goal Difference]]/1000)</f>
        <v>#VALUE!</v>
      </c>
    </row>
    <row r="129" spans="1:21" x14ac:dyDescent="0.25">
      <c r="A129" s="41"/>
      <c r="B129" s="16"/>
      <c r="C129" s="3"/>
      <c r="D129" s="3"/>
      <c r="E129" s="3"/>
      <c r="F129" s="26" t="str">
        <f t="shared" si="22"/>
        <v/>
      </c>
      <c r="G129" s="26" t="str">
        <f t="shared" si="23"/>
        <v/>
      </c>
      <c r="H129" s="25"/>
      <c r="I129" s="13"/>
      <c r="J129" s="2"/>
      <c r="K129" s="2"/>
      <c r="L129" s="2"/>
      <c r="M129" s="26"/>
      <c r="N129" s="3"/>
      <c r="O129" s="3"/>
      <c r="P129" s="3"/>
      <c r="Q129" s="10" t="str">
        <f>IF(OR(O129="",P129=""),"",SUMIFS('1. Points System'!$E$3:$E$24,'1. Points System'!$C$3:$C$24,O129,'1. Points System'!$D$3:$D$24,P129))</f>
        <v/>
      </c>
      <c r="R129" s="21"/>
      <c r="S129" s="6" t="str">
        <f t="shared" si="35"/>
        <v/>
      </c>
      <c r="T129" s="20" t="e">
        <f t="shared" si="36"/>
        <v>#VALUE!</v>
      </c>
      <c r="U129" s="42" t="e">
        <f>MasterDataTbl[[#This Row],[2026 Total Points]]+(MasterDataTbl[[#This Row],[Goal Difference]]/1000)</f>
        <v>#VALUE!</v>
      </c>
    </row>
    <row r="130" spans="1:21" x14ac:dyDescent="0.25">
      <c r="A130" s="41"/>
      <c r="B130" s="16"/>
      <c r="C130" s="3"/>
      <c r="D130" s="3"/>
      <c r="E130" s="3"/>
      <c r="F130" s="26" t="str">
        <f t="shared" si="22"/>
        <v/>
      </c>
      <c r="G130" s="26" t="str">
        <f t="shared" si="23"/>
        <v/>
      </c>
      <c r="H130" s="25"/>
      <c r="I130" s="13"/>
      <c r="J130" s="2"/>
      <c r="K130" s="2"/>
      <c r="L130" s="2"/>
      <c r="M130" s="26"/>
      <c r="N130" s="3"/>
      <c r="O130" s="3"/>
      <c r="P130" s="3"/>
      <c r="Q130" s="10" t="str">
        <f>IF(OR(O130="",P130=""),"",SUMIFS('1. Points System'!$E$3:$E$24,'1. Points System'!$C$3:$C$24,O130,'1. Points System'!$D$3:$D$24,P130))</f>
        <v/>
      </c>
      <c r="R130" s="21"/>
      <c r="S130" s="6" t="str">
        <f t="shared" si="35"/>
        <v/>
      </c>
      <c r="T130" s="20" t="e">
        <f t="shared" si="36"/>
        <v>#VALUE!</v>
      </c>
      <c r="U130" s="42" t="e">
        <f>MasterDataTbl[[#This Row],[2026 Total Points]]+(MasterDataTbl[[#This Row],[Goal Difference]]/1000)</f>
        <v>#VALUE!</v>
      </c>
    </row>
    <row r="131" spans="1:21" x14ac:dyDescent="0.25">
      <c r="A131" s="41"/>
      <c r="B131" s="16"/>
      <c r="C131" s="3"/>
      <c r="D131" s="3"/>
      <c r="E131" s="3"/>
      <c r="F131" s="26" t="str">
        <f t="shared" ref="F131:F194" si="37">IF($I131="","",IF(TRIM(SUBSTITUTE($C131,CHAR(160)," "))=TRIM(SUBSTITUTE($I131,CHAR(160)," ")),$K131,$L131))</f>
        <v/>
      </c>
      <c r="G131" s="26" t="str">
        <f t="shared" ref="G131:G194" si="38">IF($I131="","",IF(TRIM(SUBSTITUTE($C131,CHAR(160)," "))=TRIM(SUBSTITUTE($I131,CHAR(160)," ")),$L131,$K131))</f>
        <v/>
      </c>
      <c r="H131" s="25"/>
      <c r="I131" s="13"/>
      <c r="J131" s="2"/>
      <c r="K131" s="2"/>
      <c r="L131" s="2"/>
      <c r="M131" s="26"/>
      <c r="N131" s="3"/>
      <c r="O131" s="3"/>
      <c r="P131" s="3"/>
      <c r="Q131" s="10" t="str">
        <f>IF(OR(O131="",P131=""),"",SUMIFS('1. Points System'!$E$3:$E$24,'1. Points System'!$C$3:$C$24,O131,'1. Points System'!$D$3:$D$24,P131))</f>
        <v/>
      </c>
      <c r="R131" s="21"/>
      <c r="S131" s="6" t="str">
        <f t="shared" si="35"/>
        <v/>
      </c>
      <c r="T131" s="20" t="e">
        <f t="shared" si="36"/>
        <v>#VALUE!</v>
      </c>
      <c r="U131" s="42" t="e">
        <f>MasterDataTbl[[#This Row],[2026 Total Points]]+(MasterDataTbl[[#This Row],[Goal Difference]]/1000)</f>
        <v>#VALUE!</v>
      </c>
    </row>
    <row r="132" spans="1:21" x14ac:dyDescent="0.25">
      <c r="A132" s="41"/>
      <c r="B132" s="16"/>
      <c r="C132" s="3"/>
      <c r="D132" s="3"/>
      <c r="E132" s="3"/>
      <c r="F132" s="26" t="str">
        <f t="shared" si="37"/>
        <v/>
      </c>
      <c r="G132" s="26" t="str">
        <f t="shared" si="38"/>
        <v/>
      </c>
      <c r="H132" s="25"/>
      <c r="I132" s="13"/>
      <c r="J132" s="2"/>
      <c r="K132" s="2"/>
      <c r="L132" s="2"/>
      <c r="M132" s="26"/>
      <c r="N132" s="3"/>
      <c r="O132" s="3"/>
      <c r="P132" s="3"/>
      <c r="Q132" s="10" t="str">
        <f>IF(OR(O132="",P132=""),"",SUMIFS('1. Points System'!$E$3:$E$24,'1. Points System'!$C$3:$C$24,O132,'1. Points System'!$D$3:$D$24,P132))</f>
        <v/>
      </c>
      <c r="R132" s="21"/>
      <c r="S132" s="6" t="str">
        <f t="shared" si="35"/>
        <v/>
      </c>
      <c r="T132" s="20" t="e">
        <f t="shared" si="36"/>
        <v>#VALUE!</v>
      </c>
      <c r="U132" s="42" t="e">
        <f>MasterDataTbl[[#This Row],[2026 Total Points]]+(MasterDataTbl[[#This Row],[Goal Difference]]/1000)</f>
        <v>#VALUE!</v>
      </c>
    </row>
    <row r="133" spans="1:21" x14ac:dyDescent="0.25">
      <c r="A133" s="41"/>
      <c r="B133" s="16"/>
      <c r="C133" s="3"/>
      <c r="D133" s="3"/>
      <c r="E133" s="3"/>
      <c r="F133" s="26" t="str">
        <f t="shared" si="37"/>
        <v/>
      </c>
      <c r="G133" s="26" t="str">
        <f t="shared" si="38"/>
        <v/>
      </c>
      <c r="H133" s="25"/>
      <c r="I133" s="13"/>
      <c r="J133" s="2"/>
      <c r="K133" s="2"/>
      <c r="L133" s="2"/>
      <c r="M133" s="26"/>
      <c r="N133" s="3"/>
      <c r="O133" s="3"/>
      <c r="P133" s="3"/>
      <c r="Q133" s="10" t="str">
        <f>IF(OR(O133="",P133=""),"",SUMIFS('1. Points System'!$E$3:$E$24,'1. Points System'!$C$3:$C$24,O133,'1. Points System'!$D$3:$D$24,P133))</f>
        <v/>
      </c>
      <c r="R133" s="21"/>
      <c r="S133" s="6" t="str">
        <f t="shared" si="35"/>
        <v/>
      </c>
      <c r="T133" s="20" t="e">
        <f t="shared" si="36"/>
        <v>#VALUE!</v>
      </c>
      <c r="U133" s="42" t="e">
        <f>MasterDataTbl[[#This Row],[2026 Total Points]]+(MasterDataTbl[[#This Row],[Goal Difference]]/1000)</f>
        <v>#VALUE!</v>
      </c>
    </row>
    <row r="134" spans="1:21" x14ac:dyDescent="0.25">
      <c r="A134" s="41"/>
      <c r="B134" s="16"/>
      <c r="C134" s="3"/>
      <c r="D134" s="3"/>
      <c r="E134" s="3"/>
      <c r="F134" s="26" t="str">
        <f t="shared" si="37"/>
        <v/>
      </c>
      <c r="G134" s="26" t="str">
        <f t="shared" si="38"/>
        <v/>
      </c>
      <c r="H134" s="25"/>
      <c r="I134" s="13"/>
      <c r="J134" s="2"/>
      <c r="K134" s="2"/>
      <c r="L134" s="2"/>
      <c r="M134" s="26"/>
      <c r="N134" s="3"/>
      <c r="O134" s="3"/>
      <c r="P134" s="3"/>
      <c r="Q134" s="10" t="str">
        <f>IF(OR(O134="",P134=""),"",SUMIFS('1. Points System'!$E$3:$E$24,'1. Points System'!$C$3:$C$24,O134,'1. Points System'!$D$3:$D$24,P134))</f>
        <v/>
      </c>
      <c r="R134" s="21"/>
      <c r="S134" s="6" t="str">
        <f t="shared" si="35"/>
        <v/>
      </c>
      <c r="T134" s="20" t="e">
        <f t="shared" si="36"/>
        <v>#VALUE!</v>
      </c>
      <c r="U134" s="42" t="e">
        <f>MasterDataTbl[[#This Row],[2026 Total Points]]+(MasterDataTbl[[#This Row],[Goal Difference]]/1000)</f>
        <v>#VALUE!</v>
      </c>
    </row>
    <row r="135" spans="1:21" x14ac:dyDescent="0.25">
      <c r="A135" s="41"/>
      <c r="B135" s="16"/>
      <c r="C135" s="3"/>
      <c r="D135" s="3"/>
      <c r="E135" s="3"/>
      <c r="F135" s="26" t="str">
        <f t="shared" si="37"/>
        <v/>
      </c>
      <c r="G135" s="26" t="str">
        <f t="shared" si="38"/>
        <v/>
      </c>
      <c r="H135" s="25"/>
      <c r="I135" s="13"/>
      <c r="J135" s="2"/>
      <c r="K135" s="2"/>
      <c r="L135" s="2"/>
      <c r="M135" s="26"/>
      <c r="N135" s="3"/>
      <c r="O135" s="3"/>
      <c r="P135" s="3"/>
      <c r="Q135" s="10" t="str">
        <f>IF(OR(O135="",P135=""),"",SUMIFS('1. Points System'!$E$3:$E$24,'1. Points System'!$C$3:$C$24,O135,'1. Points System'!$D$3:$D$24,P135))</f>
        <v/>
      </c>
      <c r="R135" s="21"/>
      <c r="S135" s="6" t="str">
        <f t="shared" si="35"/>
        <v/>
      </c>
      <c r="T135" s="20" t="e">
        <f t="shared" si="36"/>
        <v>#VALUE!</v>
      </c>
      <c r="U135" s="42" t="e">
        <f>MasterDataTbl[[#This Row],[2026 Total Points]]+(MasterDataTbl[[#This Row],[Goal Difference]]/1000)</f>
        <v>#VALUE!</v>
      </c>
    </row>
    <row r="136" spans="1:21" x14ac:dyDescent="0.25">
      <c r="A136" s="41"/>
      <c r="B136" s="16"/>
      <c r="C136" s="3"/>
      <c r="D136" s="3"/>
      <c r="E136" s="3"/>
      <c r="F136" s="26" t="str">
        <f t="shared" si="37"/>
        <v/>
      </c>
      <c r="G136" s="26" t="str">
        <f t="shared" si="38"/>
        <v/>
      </c>
      <c r="H136" s="25"/>
      <c r="I136" s="13"/>
      <c r="J136" s="2"/>
      <c r="K136" s="2"/>
      <c r="L136" s="2"/>
      <c r="M136" s="26"/>
      <c r="N136" s="3"/>
      <c r="O136" s="3"/>
      <c r="P136" s="3"/>
      <c r="Q136" s="10" t="str">
        <f>IF(OR(O136="",P136=""),"",SUMIFS('1. Points System'!$E$3:$E$24,'1. Points System'!$C$3:$C$24,O136,'1. Points System'!$D$3:$D$24,P136))</f>
        <v/>
      </c>
      <c r="R136" s="21"/>
      <c r="S136" s="6" t="str">
        <f t="shared" si="35"/>
        <v/>
      </c>
      <c r="T136" s="20" t="e">
        <f t="shared" si="36"/>
        <v>#VALUE!</v>
      </c>
      <c r="U136" s="42" t="e">
        <f>MasterDataTbl[[#This Row],[2026 Total Points]]+(MasterDataTbl[[#This Row],[Goal Difference]]/1000)</f>
        <v>#VALUE!</v>
      </c>
    </row>
    <row r="137" spans="1:21" x14ac:dyDescent="0.25">
      <c r="A137" s="41"/>
      <c r="B137" s="16"/>
      <c r="C137" s="3"/>
      <c r="D137" s="3"/>
      <c r="E137" s="3"/>
      <c r="F137" s="26" t="str">
        <f t="shared" si="37"/>
        <v/>
      </c>
      <c r="G137" s="26" t="str">
        <f t="shared" si="38"/>
        <v/>
      </c>
      <c r="H137" s="25"/>
      <c r="I137" s="13"/>
      <c r="J137" s="2"/>
      <c r="K137" s="2"/>
      <c r="L137" s="2"/>
      <c r="M137" s="26"/>
      <c r="N137" s="3"/>
      <c r="O137" s="3"/>
      <c r="P137" s="3"/>
      <c r="Q137" s="10" t="str">
        <f>IF(OR(O137="",P137=""),"",SUMIFS('1. Points System'!$E$3:$E$24,'1. Points System'!$C$3:$C$24,O137,'1. Points System'!$D$3:$D$24,P137))</f>
        <v/>
      </c>
      <c r="R137" s="21"/>
      <c r="S137" s="6" t="str">
        <f t="shared" si="35"/>
        <v/>
      </c>
      <c r="T137" s="20" t="e">
        <f t="shared" si="36"/>
        <v>#VALUE!</v>
      </c>
      <c r="U137" s="42" t="e">
        <f>MasterDataTbl[[#This Row],[2026 Total Points]]+(MasterDataTbl[[#This Row],[Goal Difference]]/1000)</f>
        <v>#VALUE!</v>
      </c>
    </row>
    <row r="138" spans="1:21" x14ac:dyDescent="0.25">
      <c r="A138" s="41"/>
      <c r="B138" s="16"/>
      <c r="C138" s="3"/>
      <c r="D138" s="3"/>
      <c r="E138" s="3"/>
      <c r="F138" s="26" t="str">
        <f t="shared" si="37"/>
        <v/>
      </c>
      <c r="G138" s="26" t="str">
        <f t="shared" si="38"/>
        <v/>
      </c>
      <c r="H138" s="25"/>
      <c r="I138" s="13"/>
      <c r="J138" s="2"/>
      <c r="K138" s="2"/>
      <c r="L138" s="2"/>
      <c r="M138" s="26"/>
      <c r="N138" s="3"/>
      <c r="O138" s="3"/>
      <c r="P138" s="3"/>
      <c r="Q138" s="10" t="str">
        <f>IF(OR(O138="",P138=""),"",SUMIFS('1. Points System'!$E$3:$E$24,'1. Points System'!$C$3:$C$24,O138,'1. Points System'!$D$3:$D$24,P138))</f>
        <v/>
      </c>
      <c r="R138" s="21"/>
      <c r="S138" s="6" t="str">
        <f t="shared" si="35"/>
        <v/>
      </c>
      <c r="T138" s="20" t="e">
        <f t="shared" si="36"/>
        <v>#VALUE!</v>
      </c>
      <c r="U138" s="42" t="e">
        <f>MasterDataTbl[[#This Row],[2026 Total Points]]+(MasterDataTbl[[#This Row],[Goal Difference]]/1000)</f>
        <v>#VALUE!</v>
      </c>
    </row>
    <row r="139" spans="1:21" x14ac:dyDescent="0.25">
      <c r="A139" s="41"/>
      <c r="B139" s="16"/>
      <c r="C139" s="3"/>
      <c r="D139" s="3"/>
      <c r="E139" s="3"/>
      <c r="F139" s="26" t="str">
        <f t="shared" si="37"/>
        <v/>
      </c>
      <c r="G139" s="26" t="str">
        <f t="shared" si="38"/>
        <v/>
      </c>
      <c r="H139" s="25"/>
      <c r="I139" s="13"/>
      <c r="J139" s="2"/>
      <c r="K139" s="2"/>
      <c r="L139" s="2"/>
      <c r="M139" s="26"/>
      <c r="N139" s="3"/>
      <c r="O139" s="3"/>
      <c r="P139" s="3"/>
      <c r="Q139" s="10" t="str">
        <f>IF(OR(O139="",P139=""),"",SUMIFS('1. Points System'!$E$3:$E$24,'1. Points System'!$C$3:$C$24,O139,'1. Points System'!$D$3:$D$24,P139))</f>
        <v/>
      </c>
      <c r="R139" s="21"/>
      <c r="S139" s="6" t="str">
        <f t="shared" si="35"/>
        <v/>
      </c>
      <c r="T139" s="20" t="e">
        <f t="shared" si="36"/>
        <v>#VALUE!</v>
      </c>
      <c r="U139" s="42" t="e">
        <f>MasterDataTbl[[#This Row],[2026 Total Points]]+(MasterDataTbl[[#This Row],[Goal Difference]]/1000)</f>
        <v>#VALUE!</v>
      </c>
    </row>
    <row r="140" spans="1:21" x14ac:dyDescent="0.25">
      <c r="A140" s="41"/>
      <c r="B140" s="16"/>
      <c r="C140" s="3"/>
      <c r="D140" s="3"/>
      <c r="E140" s="3"/>
      <c r="F140" s="26" t="str">
        <f t="shared" si="37"/>
        <v/>
      </c>
      <c r="G140" s="26" t="str">
        <f t="shared" si="38"/>
        <v/>
      </c>
      <c r="H140" s="25"/>
      <c r="I140" s="13"/>
      <c r="J140" s="2"/>
      <c r="K140" s="2"/>
      <c r="L140" s="2"/>
      <c r="M140" s="26"/>
      <c r="N140" s="3"/>
      <c r="O140" s="3"/>
      <c r="P140" s="3"/>
      <c r="Q140" s="10" t="str">
        <f>IF(OR(O140="",P140=""),"",SUMIFS('1. Points System'!$E$3:$E$24,'1. Points System'!$C$3:$C$24,O140,'1. Points System'!$D$3:$D$24,P140))</f>
        <v/>
      </c>
      <c r="R140" s="21"/>
      <c r="S140" s="6" t="str">
        <f t="shared" si="35"/>
        <v/>
      </c>
      <c r="T140" s="20" t="e">
        <f t="shared" si="36"/>
        <v>#VALUE!</v>
      </c>
      <c r="U140" s="42" t="e">
        <f>MasterDataTbl[[#This Row],[2026 Total Points]]+(MasterDataTbl[[#This Row],[Goal Difference]]/1000)</f>
        <v>#VALUE!</v>
      </c>
    </row>
    <row r="141" spans="1:21" x14ac:dyDescent="0.25">
      <c r="A141" s="41"/>
      <c r="B141" s="16"/>
      <c r="C141" s="3"/>
      <c r="D141" s="3"/>
      <c r="E141" s="3"/>
      <c r="F141" s="26" t="str">
        <f t="shared" si="37"/>
        <v/>
      </c>
      <c r="G141" s="26" t="str">
        <f t="shared" si="38"/>
        <v/>
      </c>
      <c r="H141" s="25"/>
      <c r="I141" s="13"/>
      <c r="J141" s="2"/>
      <c r="K141" s="2"/>
      <c r="L141" s="2"/>
      <c r="M141" s="26"/>
      <c r="N141" s="3"/>
      <c r="O141" s="3"/>
      <c r="P141" s="3"/>
      <c r="Q141" s="10" t="str">
        <f>IF(OR(O141="",P141=""),"",SUMIFS('1. Points System'!$E$3:$E$24,'1. Points System'!$C$3:$C$24,O141,'1. Points System'!$D$3:$D$24,P141))</f>
        <v/>
      </c>
      <c r="R141" s="21"/>
      <c r="S141" s="6" t="str">
        <f t="shared" si="35"/>
        <v/>
      </c>
      <c r="T141" s="20" t="e">
        <f t="shared" si="36"/>
        <v>#VALUE!</v>
      </c>
      <c r="U141" s="42" t="e">
        <f>MasterDataTbl[[#This Row],[2026 Total Points]]+(MasterDataTbl[[#This Row],[Goal Difference]]/1000)</f>
        <v>#VALUE!</v>
      </c>
    </row>
    <row r="142" spans="1:21" x14ac:dyDescent="0.25">
      <c r="A142" s="41"/>
      <c r="B142" s="16"/>
      <c r="C142" s="3"/>
      <c r="D142" s="3"/>
      <c r="E142" s="3"/>
      <c r="F142" s="26" t="str">
        <f t="shared" si="37"/>
        <v/>
      </c>
      <c r="G142" s="26" t="str">
        <f t="shared" si="38"/>
        <v/>
      </c>
      <c r="H142" s="25"/>
      <c r="I142" s="13"/>
      <c r="J142" s="2"/>
      <c r="K142" s="2"/>
      <c r="L142" s="2"/>
      <c r="M142" s="26"/>
      <c r="N142" s="3"/>
      <c r="O142" s="3"/>
      <c r="P142" s="3"/>
      <c r="Q142" s="10" t="str">
        <f>IF(OR(O142="",P142=""),"",SUMIFS('1. Points System'!$E$3:$E$24,'1. Points System'!$C$3:$C$24,O142,'1. Points System'!$D$3:$D$24,P142))</f>
        <v/>
      </c>
      <c r="R142" s="21"/>
      <c r="S142" s="6" t="str">
        <f t="shared" si="35"/>
        <v/>
      </c>
      <c r="T142" s="20" t="e">
        <f t="shared" si="36"/>
        <v>#VALUE!</v>
      </c>
      <c r="U142" s="42" t="e">
        <f>MasterDataTbl[[#This Row],[2026 Total Points]]+(MasterDataTbl[[#This Row],[Goal Difference]]/1000)</f>
        <v>#VALUE!</v>
      </c>
    </row>
    <row r="143" spans="1:21" x14ac:dyDescent="0.25">
      <c r="A143" s="41"/>
      <c r="B143" s="16"/>
      <c r="C143" s="3"/>
      <c r="D143" s="3"/>
      <c r="E143" s="3"/>
      <c r="F143" s="26" t="str">
        <f t="shared" si="37"/>
        <v/>
      </c>
      <c r="G143" s="26" t="str">
        <f t="shared" si="38"/>
        <v/>
      </c>
      <c r="H143" s="25"/>
      <c r="I143" s="13"/>
      <c r="J143" s="2"/>
      <c r="K143" s="2"/>
      <c r="L143" s="2"/>
      <c r="M143" s="26"/>
      <c r="N143" s="3"/>
      <c r="O143" s="3"/>
      <c r="P143" s="3"/>
      <c r="Q143" s="10" t="str">
        <f>IF(OR(O143="",P143=""),"",SUMIFS('1. Points System'!$E$3:$E$24,'1. Points System'!$C$3:$C$24,O143,'1. Points System'!$D$3:$D$24,P143))</f>
        <v/>
      </c>
      <c r="R143" s="21"/>
      <c r="S143" s="6" t="str">
        <f t="shared" si="35"/>
        <v/>
      </c>
      <c r="T143" s="20" t="e">
        <f t="shared" si="36"/>
        <v>#VALUE!</v>
      </c>
      <c r="U143" s="42" t="e">
        <f>MasterDataTbl[[#This Row],[2026 Total Points]]+(MasterDataTbl[[#This Row],[Goal Difference]]/1000)</f>
        <v>#VALUE!</v>
      </c>
    </row>
    <row r="144" spans="1:21" x14ac:dyDescent="0.25">
      <c r="A144" s="41"/>
      <c r="B144" s="16"/>
      <c r="C144" s="3"/>
      <c r="D144" s="3"/>
      <c r="E144" s="3"/>
      <c r="F144" s="26" t="str">
        <f t="shared" si="37"/>
        <v/>
      </c>
      <c r="G144" s="26" t="str">
        <f t="shared" si="38"/>
        <v/>
      </c>
      <c r="H144" s="25"/>
      <c r="I144" s="13"/>
      <c r="J144" s="2"/>
      <c r="K144" s="2"/>
      <c r="L144" s="2"/>
      <c r="M144" s="26"/>
      <c r="N144" s="3"/>
      <c r="O144" s="3"/>
      <c r="P144" s="3"/>
      <c r="Q144" s="10" t="str">
        <f>IF(OR(O144="",P144=""),"",SUMIFS('1. Points System'!$E$3:$E$24,'1. Points System'!$C$3:$C$24,O144,'1. Points System'!$D$3:$D$24,P144))</f>
        <v/>
      </c>
      <c r="R144" s="21"/>
      <c r="S144" s="6" t="str">
        <f t="shared" si="35"/>
        <v/>
      </c>
      <c r="T144" s="20" t="e">
        <f t="shared" si="36"/>
        <v>#VALUE!</v>
      </c>
      <c r="U144" s="42" t="e">
        <f>MasterDataTbl[[#This Row],[2026 Total Points]]+(MasterDataTbl[[#This Row],[Goal Difference]]/1000)</f>
        <v>#VALUE!</v>
      </c>
    </row>
    <row r="145" spans="1:21" x14ac:dyDescent="0.25">
      <c r="A145" s="41"/>
      <c r="B145" s="16"/>
      <c r="C145" s="3"/>
      <c r="D145" s="3"/>
      <c r="E145" s="3"/>
      <c r="F145" s="26" t="str">
        <f t="shared" si="37"/>
        <v/>
      </c>
      <c r="G145" s="26" t="str">
        <f t="shared" si="38"/>
        <v/>
      </c>
      <c r="H145" s="25"/>
      <c r="I145" s="13"/>
      <c r="J145" s="2"/>
      <c r="K145" s="2"/>
      <c r="L145" s="2"/>
      <c r="M145" s="26"/>
      <c r="N145" s="3"/>
      <c r="O145" s="3"/>
      <c r="P145" s="3"/>
      <c r="Q145" s="10" t="str">
        <f>IF(OR(O145="",P145=""),"",SUMIFS('1. Points System'!$E$3:$E$24,'1. Points System'!$C$3:$C$24,O145,'1. Points System'!$D$3:$D$24,P145))</f>
        <v/>
      </c>
      <c r="R145" s="21"/>
      <c r="S145" s="6" t="str">
        <f t="shared" si="35"/>
        <v/>
      </c>
      <c r="T145" s="20" t="e">
        <f t="shared" si="36"/>
        <v>#VALUE!</v>
      </c>
      <c r="U145" s="42" t="e">
        <f>MasterDataTbl[[#This Row],[2026 Total Points]]+(MasterDataTbl[[#This Row],[Goal Difference]]/1000)</f>
        <v>#VALUE!</v>
      </c>
    </row>
    <row r="146" spans="1:21" x14ac:dyDescent="0.25">
      <c r="A146" s="41"/>
      <c r="B146" s="16"/>
      <c r="C146" s="3"/>
      <c r="D146" s="3"/>
      <c r="E146" s="3"/>
      <c r="F146" s="26" t="str">
        <f t="shared" si="37"/>
        <v/>
      </c>
      <c r="G146" s="26" t="str">
        <f t="shared" si="38"/>
        <v/>
      </c>
      <c r="H146" s="25"/>
      <c r="I146" s="13"/>
      <c r="J146" s="2"/>
      <c r="K146" s="2"/>
      <c r="L146" s="2"/>
      <c r="M146" s="26"/>
      <c r="N146" s="3"/>
      <c r="O146" s="3"/>
      <c r="P146" s="3"/>
      <c r="Q146" s="10" t="str">
        <f>IF(OR(O146="",P146=""),"",SUMIFS('1. Points System'!$E$3:$E$24,'1. Points System'!$C$3:$C$24,O146,'1. Points System'!$D$3:$D$24,P146))</f>
        <v/>
      </c>
      <c r="R146" s="21"/>
      <c r="S146" s="6" t="str">
        <f t="shared" si="35"/>
        <v/>
      </c>
      <c r="T146" s="20" t="e">
        <f t="shared" si="36"/>
        <v>#VALUE!</v>
      </c>
      <c r="U146" s="42" t="e">
        <f>MasterDataTbl[[#This Row],[2026 Total Points]]+(MasterDataTbl[[#This Row],[Goal Difference]]/1000)</f>
        <v>#VALUE!</v>
      </c>
    </row>
    <row r="147" spans="1:21" x14ac:dyDescent="0.25">
      <c r="A147" s="41"/>
      <c r="B147" s="16"/>
      <c r="C147" s="3"/>
      <c r="D147" s="3"/>
      <c r="E147" s="3"/>
      <c r="F147" s="26" t="str">
        <f t="shared" si="37"/>
        <v/>
      </c>
      <c r="G147" s="26" t="str">
        <f t="shared" si="38"/>
        <v/>
      </c>
      <c r="H147" s="25"/>
      <c r="I147" s="13"/>
      <c r="J147" s="2"/>
      <c r="K147" s="2"/>
      <c r="L147" s="2"/>
      <c r="M147" s="26"/>
      <c r="N147" s="3"/>
      <c r="O147" s="3"/>
      <c r="P147" s="3"/>
      <c r="Q147" s="10" t="str">
        <f>IF(OR(O147="",P147=""),"",SUMIFS('1. Points System'!$E$3:$E$24,'1. Points System'!$C$3:$C$24,O147,'1. Points System'!$D$3:$D$24,P147))</f>
        <v/>
      </c>
      <c r="R147" s="21"/>
      <c r="S147" s="6" t="str">
        <f t="shared" si="35"/>
        <v/>
      </c>
      <c r="T147" s="20" t="e">
        <f t="shared" si="36"/>
        <v>#VALUE!</v>
      </c>
      <c r="U147" s="42" t="e">
        <f>MasterDataTbl[[#This Row],[2026 Total Points]]+(MasterDataTbl[[#This Row],[Goal Difference]]/1000)</f>
        <v>#VALUE!</v>
      </c>
    </row>
    <row r="148" spans="1:21" x14ac:dyDescent="0.25">
      <c r="A148" s="41"/>
      <c r="B148" s="16"/>
      <c r="C148" s="3"/>
      <c r="D148" s="3"/>
      <c r="E148" s="3"/>
      <c r="F148" s="26" t="str">
        <f t="shared" si="37"/>
        <v/>
      </c>
      <c r="G148" s="26" t="str">
        <f t="shared" si="38"/>
        <v/>
      </c>
      <c r="H148" s="25"/>
      <c r="I148" s="13"/>
      <c r="J148" s="2"/>
      <c r="K148" s="2"/>
      <c r="L148" s="2"/>
      <c r="M148" s="26"/>
      <c r="N148" s="3"/>
      <c r="O148" s="3"/>
      <c r="P148" s="3"/>
      <c r="Q148" s="10" t="str">
        <f>IF(OR(O148="",P148=""),"",SUMIFS('1. Points System'!$E$3:$E$24,'1. Points System'!$C$3:$C$24,O148,'1. Points System'!$D$3:$D$24,P148))</f>
        <v/>
      </c>
      <c r="R148" s="21"/>
      <c r="S148" s="6" t="str">
        <f t="shared" si="35"/>
        <v/>
      </c>
      <c r="T148" s="20" t="e">
        <f t="shared" si="36"/>
        <v>#VALUE!</v>
      </c>
      <c r="U148" s="42" t="e">
        <f>MasterDataTbl[[#This Row],[2026 Total Points]]+(MasterDataTbl[[#This Row],[Goal Difference]]/1000)</f>
        <v>#VALUE!</v>
      </c>
    </row>
    <row r="149" spans="1:21" x14ac:dyDescent="0.25">
      <c r="A149" s="41"/>
      <c r="B149" s="16"/>
      <c r="C149" s="3"/>
      <c r="D149" s="3"/>
      <c r="E149" s="3"/>
      <c r="F149" s="26" t="str">
        <f t="shared" si="37"/>
        <v/>
      </c>
      <c r="G149" s="26" t="str">
        <f t="shared" si="38"/>
        <v/>
      </c>
      <c r="H149" s="25"/>
      <c r="I149" s="13"/>
      <c r="J149" s="2"/>
      <c r="K149" s="2"/>
      <c r="L149" s="2"/>
      <c r="M149" s="26"/>
      <c r="N149" s="3"/>
      <c r="O149" s="3"/>
      <c r="P149" s="3"/>
      <c r="Q149" s="10" t="str">
        <f>IF(OR(O149="",P149=""),"",SUMIFS('1. Points System'!$E$3:$E$24,'1. Points System'!$C$3:$C$24,O149,'1. Points System'!$D$3:$D$24,P149))</f>
        <v/>
      </c>
      <c r="R149" s="21"/>
      <c r="S149" s="6" t="str">
        <f t="shared" si="35"/>
        <v/>
      </c>
      <c r="T149" s="20" t="e">
        <f t="shared" si="36"/>
        <v>#VALUE!</v>
      </c>
      <c r="U149" s="42" t="e">
        <f>MasterDataTbl[[#This Row],[2026 Total Points]]+(MasterDataTbl[[#This Row],[Goal Difference]]/1000)</f>
        <v>#VALUE!</v>
      </c>
    </row>
    <row r="150" spans="1:21" x14ac:dyDescent="0.25">
      <c r="A150" s="41"/>
      <c r="B150" s="16"/>
      <c r="C150" s="3"/>
      <c r="D150" s="3"/>
      <c r="E150" s="3"/>
      <c r="F150" s="26" t="str">
        <f t="shared" si="37"/>
        <v/>
      </c>
      <c r="G150" s="26" t="str">
        <f t="shared" si="38"/>
        <v/>
      </c>
      <c r="H150" s="25"/>
      <c r="I150" s="13"/>
      <c r="J150" s="2"/>
      <c r="K150" s="2"/>
      <c r="L150" s="2"/>
      <c r="M150" s="26"/>
      <c r="N150" s="3"/>
      <c r="O150" s="3"/>
      <c r="P150" s="3"/>
      <c r="Q150" s="10" t="str">
        <f>IF(OR(O150="",P150=""),"",SUMIFS('1. Points System'!$E$3:$E$24,'1. Points System'!$C$3:$C$24,O150,'1. Points System'!$D$3:$D$24,P150))</f>
        <v/>
      </c>
      <c r="R150" s="21"/>
      <c r="S150" s="6" t="str">
        <f t="shared" si="35"/>
        <v/>
      </c>
      <c r="T150" s="20" t="e">
        <f t="shared" si="36"/>
        <v>#VALUE!</v>
      </c>
      <c r="U150" s="42" t="e">
        <f>MasterDataTbl[[#This Row],[2026 Total Points]]+(MasterDataTbl[[#This Row],[Goal Difference]]/1000)</f>
        <v>#VALUE!</v>
      </c>
    </row>
    <row r="151" spans="1:21" x14ac:dyDescent="0.25">
      <c r="A151" s="41"/>
      <c r="B151" s="16"/>
      <c r="C151" s="3"/>
      <c r="D151" s="3"/>
      <c r="E151" s="3"/>
      <c r="F151" s="26" t="str">
        <f t="shared" si="37"/>
        <v/>
      </c>
      <c r="G151" s="26" t="str">
        <f t="shared" si="38"/>
        <v/>
      </c>
      <c r="H151" s="25"/>
      <c r="I151" s="13"/>
      <c r="J151" s="2"/>
      <c r="K151" s="2"/>
      <c r="L151" s="2"/>
      <c r="M151" s="26"/>
      <c r="N151" s="3"/>
      <c r="O151" s="3"/>
      <c r="P151" s="3"/>
      <c r="Q151" s="10" t="str">
        <f>IF(OR(O151="",P151=""),"",SUMIFS('1. Points System'!$E$3:$E$24,'1. Points System'!$C$3:$C$24,O151,'1. Points System'!$D$3:$D$24,P151))</f>
        <v/>
      </c>
      <c r="R151" s="21"/>
      <c r="S151" s="6" t="str">
        <f t="shared" si="35"/>
        <v/>
      </c>
      <c r="T151" s="20" t="e">
        <f t="shared" si="36"/>
        <v>#VALUE!</v>
      </c>
      <c r="U151" s="42" t="e">
        <f>MasterDataTbl[[#This Row],[2026 Total Points]]+(MasterDataTbl[[#This Row],[Goal Difference]]/1000)</f>
        <v>#VALUE!</v>
      </c>
    </row>
    <row r="152" spans="1:21" x14ac:dyDescent="0.25">
      <c r="A152" s="41"/>
      <c r="B152" s="16"/>
      <c r="C152" s="3"/>
      <c r="D152" s="3"/>
      <c r="E152" s="3"/>
      <c r="F152" s="26" t="str">
        <f t="shared" si="37"/>
        <v/>
      </c>
      <c r="G152" s="26" t="str">
        <f t="shared" si="38"/>
        <v/>
      </c>
      <c r="H152" s="25"/>
      <c r="I152" s="13"/>
      <c r="J152" s="2"/>
      <c r="K152" s="2"/>
      <c r="L152" s="2"/>
      <c r="M152" s="26"/>
      <c r="N152" s="3"/>
      <c r="O152" s="3"/>
      <c r="P152" s="3"/>
      <c r="Q152" s="10" t="str">
        <f>IF(OR(O152="",P152=""),"",SUMIFS('1. Points System'!$E$3:$E$24,'1. Points System'!$C$3:$C$24,O152,'1. Points System'!$D$3:$D$24,P152))</f>
        <v/>
      </c>
      <c r="R152" s="21"/>
      <c r="S152" s="6" t="str">
        <f t="shared" si="35"/>
        <v/>
      </c>
      <c r="T152" s="23" t="e">
        <f t="shared" si="36"/>
        <v>#VALUE!</v>
      </c>
      <c r="U152" s="42" t="e">
        <f>MasterDataTbl[[#This Row],[2026 Total Points]]+(MasterDataTbl[[#This Row],[Goal Difference]]/1000)</f>
        <v>#VALUE!</v>
      </c>
    </row>
    <row r="153" spans="1:21" x14ac:dyDescent="0.25">
      <c r="A153" s="41"/>
      <c r="B153" s="16"/>
      <c r="C153" s="3"/>
      <c r="D153" s="3"/>
      <c r="E153" s="3"/>
      <c r="F153" s="26" t="str">
        <f t="shared" si="37"/>
        <v/>
      </c>
      <c r="G153" s="26" t="str">
        <f t="shared" si="38"/>
        <v/>
      </c>
      <c r="H153" s="25"/>
      <c r="I153" s="13"/>
      <c r="J153" s="2"/>
      <c r="K153" s="2"/>
      <c r="L153" s="2"/>
      <c r="M153" s="26"/>
      <c r="N153" s="3"/>
      <c r="O153" s="3"/>
      <c r="P153" s="3"/>
      <c r="Q153" s="10" t="str">
        <f>IF(OR(O153="",P153=""),"",SUMIFS('1. Points System'!$E$3:$E$24,'1. Points System'!$C$3:$C$24,O153,'1. Points System'!$D$3:$D$24,P153))</f>
        <v/>
      </c>
      <c r="R153" s="21"/>
      <c r="S153" s="6" t="str">
        <f t="shared" si="35"/>
        <v/>
      </c>
      <c r="T153" s="23" t="e">
        <f t="shared" si="36"/>
        <v>#VALUE!</v>
      </c>
      <c r="U153" s="42" t="e">
        <f>MasterDataTbl[[#This Row],[2026 Total Points]]+(MasterDataTbl[[#This Row],[Goal Difference]]/1000)</f>
        <v>#VALUE!</v>
      </c>
    </row>
    <row r="154" spans="1:21" x14ac:dyDescent="0.25">
      <c r="A154" s="41"/>
      <c r="B154" s="16"/>
      <c r="C154" s="3"/>
      <c r="D154" s="3"/>
      <c r="E154" s="3"/>
      <c r="F154" s="26" t="str">
        <f t="shared" si="37"/>
        <v/>
      </c>
      <c r="G154" s="26" t="str">
        <f t="shared" si="38"/>
        <v/>
      </c>
      <c r="H154" s="25"/>
      <c r="I154" s="13"/>
      <c r="J154" s="2"/>
      <c r="K154" s="2"/>
      <c r="L154" s="2"/>
      <c r="M154" s="26"/>
      <c r="N154" s="3"/>
      <c r="O154" s="3"/>
      <c r="P154" s="3"/>
      <c r="Q154" s="10" t="str">
        <f>IF(OR(O154="",P154=""),"",SUMIFS('1. Points System'!$E$3:$E$24,'1. Points System'!$C$3:$C$24,O154,'1. Points System'!$D$3:$D$24,P154))</f>
        <v/>
      </c>
      <c r="R154" s="21"/>
      <c r="S154" s="6" t="str">
        <f t="shared" si="35"/>
        <v/>
      </c>
      <c r="T154" s="23" t="e">
        <f t="shared" si="36"/>
        <v>#VALUE!</v>
      </c>
      <c r="U154" s="42" t="e">
        <f>MasterDataTbl[[#This Row],[2026 Total Points]]+(MasterDataTbl[[#This Row],[Goal Difference]]/1000)</f>
        <v>#VALUE!</v>
      </c>
    </row>
    <row r="155" spans="1:21" x14ac:dyDescent="0.25">
      <c r="A155" s="41"/>
      <c r="B155" s="16"/>
      <c r="C155" s="3"/>
      <c r="D155" s="3"/>
      <c r="E155" s="3"/>
      <c r="F155" s="26" t="str">
        <f t="shared" si="37"/>
        <v/>
      </c>
      <c r="G155" s="26" t="str">
        <f t="shared" si="38"/>
        <v/>
      </c>
      <c r="H155" s="25"/>
      <c r="I155" s="13"/>
      <c r="J155" s="2"/>
      <c r="K155" s="2"/>
      <c r="L155" s="2"/>
      <c r="M155" s="26"/>
      <c r="N155" s="3"/>
      <c r="O155" s="3"/>
      <c r="P155" s="3"/>
      <c r="Q155" s="10" t="str">
        <f>IF(OR(O155="",P155=""),"",SUMIFS('1. Points System'!$E$3:$E$24,'1. Points System'!$C$3:$C$24,O155,'1. Points System'!$D$3:$D$24,P155))</f>
        <v/>
      </c>
      <c r="R155" s="21"/>
      <c r="S155" s="6" t="str">
        <f t="shared" si="35"/>
        <v/>
      </c>
      <c r="T155" s="23" t="e">
        <f t="shared" si="36"/>
        <v>#VALUE!</v>
      </c>
      <c r="U155" s="42" t="e">
        <f>MasterDataTbl[[#This Row],[2026 Total Points]]+(MasterDataTbl[[#This Row],[Goal Difference]]/1000)</f>
        <v>#VALUE!</v>
      </c>
    </row>
    <row r="156" spans="1:21" x14ac:dyDescent="0.25">
      <c r="A156" s="41"/>
      <c r="B156" s="16"/>
      <c r="C156" s="3"/>
      <c r="D156" s="3"/>
      <c r="E156" s="3"/>
      <c r="F156" s="26" t="str">
        <f t="shared" si="37"/>
        <v/>
      </c>
      <c r="G156" s="26" t="str">
        <f t="shared" si="38"/>
        <v/>
      </c>
      <c r="H156" s="25"/>
      <c r="I156" s="13"/>
      <c r="J156" s="2"/>
      <c r="K156" s="2"/>
      <c r="L156" s="2"/>
      <c r="M156" s="26"/>
      <c r="N156" s="3"/>
      <c r="O156" s="3"/>
      <c r="P156" s="3"/>
      <c r="Q156" s="10" t="str">
        <f>IF(OR(O156="",P156=""),"",SUMIFS('1. Points System'!$E$3:$E$24,'1. Points System'!$C$3:$C$24,O156,'1. Points System'!$D$3:$D$24,P156))</f>
        <v/>
      </c>
      <c r="R156" s="21"/>
      <c r="S156" s="6" t="str">
        <f t="shared" si="35"/>
        <v/>
      </c>
      <c r="T156" s="23" t="e">
        <f t="shared" si="36"/>
        <v>#VALUE!</v>
      </c>
      <c r="U156" s="42" t="e">
        <f>MasterDataTbl[[#This Row],[2026 Total Points]]+(MasterDataTbl[[#This Row],[Goal Difference]]/1000)</f>
        <v>#VALUE!</v>
      </c>
    </row>
    <row r="157" spans="1:21" x14ac:dyDescent="0.25">
      <c r="A157" s="41"/>
      <c r="B157" s="16"/>
      <c r="C157" s="3"/>
      <c r="D157" s="3"/>
      <c r="E157" s="3"/>
      <c r="F157" s="26" t="str">
        <f t="shared" si="37"/>
        <v/>
      </c>
      <c r="G157" s="26" t="str">
        <f t="shared" si="38"/>
        <v/>
      </c>
      <c r="H157" s="25"/>
      <c r="I157" s="13"/>
      <c r="J157" s="2"/>
      <c r="K157" s="2"/>
      <c r="L157" s="2"/>
      <c r="M157" s="26"/>
      <c r="N157" s="3"/>
      <c r="O157" s="3"/>
      <c r="P157" s="3"/>
      <c r="Q157" s="10" t="str">
        <f>IF(OR(O157="",P157=""),"",SUMIFS('1. Points System'!$E$3:$E$24,'1. Points System'!$C$3:$C$24,O157,'1. Points System'!$D$3:$D$24,P157))</f>
        <v/>
      </c>
      <c r="R157" s="21"/>
      <c r="S157" s="6" t="str">
        <f t="shared" ref="S157:S188" si="39">Q157</f>
        <v/>
      </c>
      <c r="T157" s="23" t="e">
        <f t="shared" ref="T157:T188" si="40">S157/2</f>
        <v>#VALUE!</v>
      </c>
      <c r="U157" s="42" t="e">
        <f>MasterDataTbl[[#This Row],[2026 Total Points]]+(MasterDataTbl[[#This Row],[Goal Difference]]/1000)</f>
        <v>#VALUE!</v>
      </c>
    </row>
    <row r="158" spans="1:21" x14ac:dyDescent="0.25">
      <c r="A158" s="41"/>
      <c r="B158" s="16"/>
      <c r="C158" s="3"/>
      <c r="D158" s="3"/>
      <c r="E158" s="3"/>
      <c r="F158" s="26" t="str">
        <f t="shared" si="37"/>
        <v/>
      </c>
      <c r="G158" s="26" t="str">
        <f t="shared" si="38"/>
        <v/>
      </c>
      <c r="H158" s="25"/>
      <c r="I158" s="13"/>
      <c r="J158" s="2"/>
      <c r="K158" s="2"/>
      <c r="L158" s="2"/>
      <c r="M158" s="26"/>
      <c r="N158" s="3"/>
      <c r="O158" s="3"/>
      <c r="P158" s="3"/>
      <c r="Q158" s="10" t="str">
        <f>IF(OR(O158="",P158=""),"",SUMIFS('1. Points System'!$E$3:$E$24,'1. Points System'!$C$3:$C$24,O158,'1. Points System'!$D$3:$D$24,P158))</f>
        <v/>
      </c>
      <c r="R158" s="21"/>
      <c r="S158" s="6" t="str">
        <f t="shared" si="39"/>
        <v/>
      </c>
      <c r="T158" s="20" t="e">
        <f t="shared" si="40"/>
        <v>#VALUE!</v>
      </c>
      <c r="U158" s="42" t="e">
        <f>MasterDataTbl[[#This Row],[2026 Total Points]]+(MasterDataTbl[[#This Row],[Goal Difference]]/1000)</f>
        <v>#VALUE!</v>
      </c>
    </row>
    <row r="159" spans="1:21" x14ac:dyDescent="0.25">
      <c r="A159" s="41"/>
      <c r="B159" s="16"/>
      <c r="C159" s="3"/>
      <c r="D159" s="3"/>
      <c r="E159" s="3"/>
      <c r="F159" s="26" t="str">
        <f t="shared" si="37"/>
        <v/>
      </c>
      <c r="G159" s="26" t="str">
        <f t="shared" si="38"/>
        <v/>
      </c>
      <c r="H159" s="25"/>
      <c r="I159" s="13"/>
      <c r="J159" s="2"/>
      <c r="K159" s="2"/>
      <c r="L159" s="2"/>
      <c r="M159" s="26"/>
      <c r="N159" s="3"/>
      <c r="O159" s="3"/>
      <c r="P159" s="3"/>
      <c r="Q159" s="10" t="str">
        <f>IF(OR(O159="",P159=""),"",SUMIFS('1. Points System'!$E$3:$E$24,'1. Points System'!$C$3:$C$24,O159,'1. Points System'!$D$3:$D$24,P159))</f>
        <v/>
      </c>
      <c r="R159" s="21"/>
      <c r="S159" s="6" t="str">
        <f t="shared" si="39"/>
        <v/>
      </c>
      <c r="T159" s="20" t="e">
        <f t="shared" si="40"/>
        <v>#VALUE!</v>
      </c>
      <c r="U159" s="42" t="e">
        <f>MasterDataTbl[[#This Row],[2026 Total Points]]+(MasterDataTbl[[#This Row],[Goal Difference]]/1000)</f>
        <v>#VALUE!</v>
      </c>
    </row>
    <row r="160" spans="1:21" x14ac:dyDescent="0.25">
      <c r="A160" s="41"/>
      <c r="B160" s="16"/>
      <c r="C160" s="3"/>
      <c r="D160" s="3"/>
      <c r="E160" s="3"/>
      <c r="F160" s="26" t="str">
        <f t="shared" si="37"/>
        <v/>
      </c>
      <c r="G160" s="26" t="str">
        <f t="shared" si="38"/>
        <v/>
      </c>
      <c r="H160" s="25"/>
      <c r="I160" s="13"/>
      <c r="J160" s="2"/>
      <c r="K160" s="2"/>
      <c r="L160" s="2"/>
      <c r="M160" s="26"/>
      <c r="N160" s="3"/>
      <c r="O160" s="3"/>
      <c r="P160" s="3"/>
      <c r="Q160" s="10" t="str">
        <f>IF(OR(O160="",P160=""),"",SUMIFS('1. Points System'!$E$3:$E$24,'1. Points System'!$C$3:$C$24,O160,'1. Points System'!$D$3:$D$24,P160))</f>
        <v/>
      </c>
      <c r="R160" s="21"/>
      <c r="S160" s="6" t="str">
        <f t="shared" si="39"/>
        <v/>
      </c>
      <c r="T160" s="20" t="e">
        <f t="shared" si="40"/>
        <v>#VALUE!</v>
      </c>
      <c r="U160" s="42" t="e">
        <f>MasterDataTbl[[#This Row],[2026 Total Points]]+(MasterDataTbl[[#This Row],[Goal Difference]]/1000)</f>
        <v>#VALUE!</v>
      </c>
    </row>
    <row r="161" spans="1:21" x14ac:dyDescent="0.25">
      <c r="A161" s="41"/>
      <c r="B161" s="16"/>
      <c r="C161" s="3"/>
      <c r="D161" s="3"/>
      <c r="E161" s="3"/>
      <c r="F161" s="26" t="str">
        <f t="shared" si="37"/>
        <v/>
      </c>
      <c r="G161" s="26" t="str">
        <f t="shared" si="38"/>
        <v/>
      </c>
      <c r="H161" s="25"/>
      <c r="I161" s="13"/>
      <c r="J161" s="2"/>
      <c r="K161" s="2"/>
      <c r="L161" s="2"/>
      <c r="M161" s="26"/>
      <c r="N161" s="3"/>
      <c r="O161" s="3"/>
      <c r="P161" s="3"/>
      <c r="Q161" s="10" t="str">
        <f>IF(OR(O161="",P161=""),"",SUMIFS('1. Points System'!$E$3:$E$24,'1. Points System'!$C$3:$C$24,O161,'1. Points System'!$D$3:$D$24,P161))</f>
        <v/>
      </c>
      <c r="R161" s="21"/>
      <c r="S161" s="6" t="str">
        <f t="shared" si="39"/>
        <v/>
      </c>
      <c r="T161" s="20" t="e">
        <f t="shared" si="40"/>
        <v>#VALUE!</v>
      </c>
      <c r="U161" s="42" t="e">
        <f>MasterDataTbl[[#This Row],[2026 Total Points]]+(MasterDataTbl[[#This Row],[Goal Difference]]/1000)</f>
        <v>#VALUE!</v>
      </c>
    </row>
    <row r="162" spans="1:21" x14ac:dyDescent="0.25">
      <c r="A162" s="41"/>
      <c r="B162" s="16"/>
      <c r="C162" s="3"/>
      <c r="D162" s="3"/>
      <c r="E162" s="3"/>
      <c r="F162" s="26" t="str">
        <f t="shared" si="37"/>
        <v/>
      </c>
      <c r="G162" s="26" t="str">
        <f t="shared" si="38"/>
        <v/>
      </c>
      <c r="H162" s="25"/>
      <c r="I162" s="13"/>
      <c r="J162" s="2"/>
      <c r="K162" s="2"/>
      <c r="L162" s="2"/>
      <c r="M162" s="26"/>
      <c r="N162" s="3"/>
      <c r="O162" s="3"/>
      <c r="P162" s="3"/>
      <c r="Q162" s="10" t="str">
        <f>IF(OR(O162="",P162=""),"",SUMIFS('1. Points System'!$E$3:$E$24,'1. Points System'!$C$3:$C$24,O162,'1. Points System'!$D$3:$D$24,P162))</f>
        <v/>
      </c>
      <c r="R162" s="21"/>
      <c r="S162" s="6" t="str">
        <f t="shared" si="39"/>
        <v/>
      </c>
      <c r="T162" s="20" t="e">
        <f t="shared" si="40"/>
        <v>#VALUE!</v>
      </c>
      <c r="U162" s="42" t="e">
        <f>MasterDataTbl[[#This Row],[2026 Total Points]]+(MasterDataTbl[[#This Row],[Goal Difference]]/1000)</f>
        <v>#VALUE!</v>
      </c>
    </row>
    <row r="163" spans="1:21" x14ac:dyDescent="0.25">
      <c r="A163" s="41"/>
      <c r="B163" s="16"/>
      <c r="C163" s="3"/>
      <c r="D163" s="3"/>
      <c r="E163" s="3"/>
      <c r="F163" s="26" t="str">
        <f t="shared" si="37"/>
        <v/>
      </c>
      <c r="G163" s="26" t="str">
        <f t="shared" si="38"/>
        <v/>
      </c>
      <c r="H163" s="25"/>
      <c r="I163" s="13"/>
      <c r="J163" s="2"/>
      <c r="K163" s="2"/>
      <c r="L163" s="2"/>
      <c r="M163" s="26"/>
      <c r="N163" s="3"/>
      <c r="O163" s="3"/>
      <c r="P163" s="3"/>
      <c r="Q163" s="10" t="str">
        <f>IF(OR(O163="",P163=""),"",SUMIFS('1. Points System'!$E$3:$E$24,'1. Points System'!$C$3:$C$24,O163,'1. Points System'!$D$3:$D$24,P163))</f>
        <v/>
      </c>
      <c r="R163" s="21"/>
      <c r="S163" s="6" t="str">
        <f t="shared" si="39"/>
        <v/>
      </c>
      <c r="T163" s="20" t="e">
        <f t="shared" si="40"/>
        <v>#VALUE!</v>
      </c>
      <c r="U163" s="42" t="e">
        <f>MasterDataTbl[[#This Row],[2026 Total Points]]+(MasterDataTbl[[#This Row],[Goal Difference]]/1000)</f>
        <v>#VALUE!</v>
      </c>
    </row>
    <row r="164" spans="1:21" x14ac:dyDescent="0.25">
      <c r="A164" s="41"/>
      <c r="B164" s="16"/>
      <c r="C164" s="3"/>
      <c r="D164" s="3"/>
      <c r="E164" s="3"/>
      <c r="F164" s="26" t="str">
        <f t="shared" si="37"/>
        <v/>
      </c>
      <c r="G164" s="26" t="str">
        <f t="shared" si="38"/>
        <v/>
      </c>
      <c r="H164" s="25"/>
      <c r="I164" s="13"/>
      <c r="J164" s="2"/>
      <c r="K164" s="2"/>
      <c r="L164" s="2"/>
      <c r="M164" s="26"/>
      <c r="N164" s="3"/>
      <c r="O164" s="3"/>
      <c r="P164" s="3"/>
      <c r="Q164" s="10" t="str">
        <f>IF(OR(O164="",P164=""),"",SUMIFS('1. Points System'!$E$3:$E$24,'1. Points System'!$C$3:$C$24,O164,'1. Points System'!$D$3:$D$24,P164))</f>
        <v/>
      </c>
      <c r="R164" s="21"/>
      <c r="S164" s="6" t="str">
        <f t="shared" si="39"/>
        <v/>
      </c>
      <c r="T164" s="20" t="e">
        <f t="shared" si="40"/>
        <v>#VALUE!</v>
      </c>
      <c r="U164" s="42" t="e">
        <f>MasterDataTbl[[#This Row],[2026 Total Points]]+(MasterDataTbl[[#This Row],[Goal Difference]]/1000)</f>
        <v>#VALUE!</v>
      </c>
    </row>
    <row r="165" spans="1:21" x14ac:dyDescent="0.25">
      <c r="A165" s="41"/>
      <c r="B165" s="16"/>
      <c r="C165" s="3"/>
      <c r="D165" s="3"/>
      <c r="E165" s="3"/>
      <c r="F165" s="26" t="str">
        <f t="shared" si="37"/>
        <v/>
      </c>
      <c r="G165" s="26" t="str">
        <f t="shared" si="38"/>
        <v/>
      </c>
      <c r="H165" s="25"/>
      <c r="I165" s="13"/>
      <c r="J165" s="2"/>
      <c r="K165" s="2"/>
      <c r="L165" s="2"/>
      <c r="M165" s="26"/>
      <c r="N165" s="3"/>
      <c r="O165" s="3"/>
      <c r="P165" s="3"/>
      <c r="Q165" s="10" t="str">
        <f>IF(OR(O165="",P165=""),"",SUMIFS('1. Points System'!$E$3:$E$24,'1. Points System'!$C$3:$C$24,O165,'1. Points System'!$D$3:$D$24,P165))</f>
        <v/>
      </c>
      <c r="R165" s="21"/>
      <c r="S165" s="6" t="str">
        <f t="shared" si="39"/>
        <v/>
      </c>
      <c r="T165" s="20" t="e">
        <f t="shared" si="40"/>
        <v>#VALUE!</v>
      </c>
      <c r="U165" s="42" t="e">
        <f>MasterDataTbl[[#This Row],[2026 Total Points]]+(MasterDataTbl[[#This Row],[Goal Difference]]/1000)</f>
        <v>#VALUE!</v>
      </c>
    </row>
    <row r="166" spans="1:21" x14ac:dyDescent="0.25">
      <c r="A166" s="41"/>
      <c r="B166" s="16"/>
      <c r="C166" s="3"/>
      <c r="D166" s="3"/>
      <c r="E166" s="3"/>
      <c r="F166" s="26" t="str">
        <f t="shared" si="37"/>
        <v/>
      </c>
      <c r="G166" s="26" t="str">
        <f t="shared" si="38"/>
        <v/>
      </c>
      <c r="H166" s="25"/>
      <c r="I166" s="13"/>
      <c r="J166" s="2"/>
      <c r="K166" s="2"/>
      <c r="L166" s="2"/>
      <c r="M166" s="26"/>
      <c r="N166" s="3"/>
      <c r="O166" s="3"/>
      <c r="P166" s="3"/>
      <c r="Q166" s="10" t="str">
        <f>IF(OR(O166="",P166=""),"",SUMIFS('1. Points System'!$E$3:$E$24,'1. Points System'!$C$3:$C$24,O166,'1. Points System'!$D$3:$D$24,P166))</f>
        <v/>
      </c>
      <c r="R166" s="21"/>
      <c r="S166" s="6" t="str">
        <f t="shared" si="39"/>
        <v/>
      </c>
      <c r="T166" s="20" t="e">
        <f t="shared" si="40"/>
        <v>#VALUE!</v>
      </c>
      <c r="U166" s="42" t="e">
        <f>MasterDataTbl[[#This Row],[2026 Total Points]]+(MasterDataTbl[[#This Row],[Goal Difference]]/1000)</f>
        <v>#VALUE!</v>
      </c>
    </row>
    <row r="167" spans="1:21" x14ac:dyDescent="0.25">
      <c r="A167" s="41"/>
      <c r="B167" s="16"/>
      <c r="C167" s="3"/>
      <c r="D167" s="3"/>
      <c r="E167" s="3"/>
      <c r="F167" s="26" t="str">
        <f t="shared" si="37"/>
        <v/>
      </c>
      <c r="G167" s="26" t="str">
        <f t="shared" si="38"/>
        <v/>
      </c>
      <c r="H167" s="25"/>
      <c r="I167" s="13"/>
      <c r="J167" s="2"/>
      <c r="K167" s="2"/>
      <c r="L167" s="2"/>
      <c r="M167" s="26"/>
      <c r="N167" s="3"/>
      <c r="O167" s="3"/>
      <c r="P167" s="3"/>
      <c r="Q167" s="10" t="str">
        <f>IF(OR(O167="",P167=""),"",SUMIFS('1. Points System'!$E$3:$E$24,'1. Points System'!$C$3:$C$24,O167,'1. Points System'!$D$3:$D$24,P167))</f>
        <v/>
      </c>
      <c r="R167" s="21"/>
      <c r="S167" s="6" t="str">
        <f t="shared" si="39"/>
        <v/>
      </c>
      <c r="T167" s="20" t="e">
        <f t="shared" si="40"/>
        <v>#VALUE!</v>
      </c>
      <c r="U167" s="42" t="e">
        <f>MasterDataTbl[[#This Row],[2026 Total Points]]+(MasterDataTbl[[#This Row],[Goal Difference]]/1000)</f>
        <v>#VALUE!</v>
      </c>
    </row>
    <row r="168" spans="1:21" x14ac:dyDescent="0.25">
      <c r="A168" s="41"/>
      <c r="B168" s="16"/>
      <c r="C168" s="3"/>
      <c r="D168" s="3"/>
      <c r="E168" s="3"/>
      <c r="F168" s="26" t="str">
        <f t="shared" si="37"/>
        <v/>
      </c>
      <c r="G168" s="26" t="str">
        <f t="shared" si="38"/>
        <v/>
      </c>
      <c r="H168" s="25"/>
      <c r="I168" s="13"/>
      <c r="J168" s="2"/>
      <c r="K168" s="2"/>
      <c r="L168" s="2"/>
      <c r="M168" s="26"/>
      <c r="N168" s="3"/>
      <c r="O168" s="3"/>
      <c r="P168" s="3"/>
      <c r="Q168" s="10" t="str">
        <f>IF(OR(O168="",P168=""),"",SUMIFS('1. Points System'!$E$3:$E$24,'1. Points System'!$C$3:$C$24,O168,'1. Points System'!$D$3:$D$24,P168))</f>
        <v/>
      </c>
      <c r="R168" s="21"/>
      <c r="S168" s="6" t="str">
        <f t="shared" si="39"/>
        <v/>
      </c>
      <c r="T168" s="20" t="e">
        <f t="shared" si="40"/>
        <v>#VALUE!</v>
      </c>
      <c r="U168" s="42" t="e">
        <f>MasterDataTbl[[#This Row],[2026 Total Points]]+(MasterDataTbl[[#This Row],[Goal Difference]]/1000)</f>
        <v>#VALUE!</v>
      </c>
    </row>
    <row r="169" spans="1:21" x14ac:dyDescent="0.25">
      <c r="A169" s="41"/>
      <c r="B169" s="16"/>
      <c r="C169" s="3"/>
      <c r="D169" s="3"/>
      <c r="E169" s="3"/>
      <c r="F169" s="26" t="str">
        <f t="shared" si="37"/>
        <v/>
      </c>
      <c r="G169" s="26" t="str">
        <f t="shared" si="38"/>
        <v/>
      </c>
      <c r="H169" s="25"/>
      <c r="I169" s="13"/>
      <c r="J169" s="2"/>
      <c r="K169" s="2"/>
      <c r="L169" s="2"/>
      <c r="M169" s="26"/>
      <c r="N169" s="3"/>
      <c r="O169" s="3"/>
      <c r="P169" s="3"/>
      <c r="Q169" s="10" t="str">
        <f>IF(OR(O169="",P169=""),"",SUMIFS('1. Points System'!$E$3:$E$24,'1. Points System'!$C$3:$C$24,O169,'1. Points System'!$D$3:$D$24,P169))</f>
        <v/>
      </c>
      <c r="R169" s="21"/>
      <c r="S169" s="6" t="str">
        <f t="shared" si="39"/>
        <v/>
      </c>
      <c r="T169" s="20" t="e">
        <f t="shared" si="40"/>
        <v>#VALUE!</v>
      </c>
      <c r="U169" s="42" t="e">
        <f>MasterDataTbl[[#This Row],[2026 Total Points]]+(MasterDataTbl[[#This Row],[Goal Difference]]/1000)</f>
        <v>#VALUE!</v>
      </c>
    </row>
    <row r="170" spans="1:21" x14ac:dyDescent="0.25">
      <c r="A170" s="41"/>
      <c r="B170" s="16"/>
      <c r="C170" s="3"/>
      <c r="D170" s="3"/>
      <c r="E170" s="3"/>
      <c r="F170" s="26" t="str">
        <f t="shared" si="37"/>
        <v/>
      </c>
      <c r="G170" s="26" t="str">
        <f t="shared" si="38"/>
        <v/>
      </c>
      <c r="H170" s="25"/>
      <c r="I170" s="13"/>
      <c r="J170" s="2"/>
      <c r="K170" s="2"/>
      <c r="L170" s="2"/>
      <c r="M170" s="26"/>
      <c r="N170" s="3"/>
      <c r="O170" s="3"/>
      <c r="P170" s="3"/>
      <c r="Q170" s="10" t="str">
        <f>IF(OR(O170="",P170=""),"",SUMIFS('1. Points System'!$E$3:$E$24,'1. Points System'!$C$3:$C$24,O170,'1. Points System'!$D$3:$D$24,P170))</f>
        <v/>
      </c>
      <c r="R170" s="21"/>
      <c r="S170" s="6" t="str">
        <f t="shared" si="39"/>
        <v/>
      </c>
      <c r="T170" s="20" t="e">
        <f t="shared" si="40"/>
        <v>#VALUE!</v>
      </c>
      <c r="U170" s="42" t="e">
        <f>MasterDataTbl[[#This Row],[2026 Total Points]]+(MasterDataTbl[[#This Row],[Goal Difference]]/1000)</f>
        <v>#VALUE!</v>
      </c>
    </row>
    <row r="171" spans="1:21" x14ac:dyDescent="0.25">
      <c r="A171" s="41"/>
      <c r="B171" s="16"/>
      <c r="C171" s="3"/>
      <c r="D171" s="3"/>
      <c r="E171" s="3"/>
      <c r="F171" s="26" t="str">
        <f t="shared" si="37"/>
        <v/>
      </c>
      <c r="G171" s="26" t="str">
        <f t="shared" si="38"/>
        <v/>
      </c>
      <c r="H171" s="25"/>
      <c r="I171" s="13"/>
      <c r="J171" s="2"/>
      <c r="K171" s="2"/>
      <c r="L171" s="2"/>
      <c r="M171" s="26"/>
      <c r="N171" s="3"/>
      <c r="O171" s="3"/>
      <c r="P171" s="3"/>
      <c r="Q171" s="10" t="str">
        <f>IF(OR(O171="",P171=""),"",SUMIFS('1. Points System'!$E$3:$E$24,'1. Points System'!$C$3:$C$24,O171,'1. Points System'!$D$3:$D$24,P171))</f>
        <v/>
      </c>
      <c r="R171" s="21"/>
      <c r="S171" s="6" t="str">
        <f t="shared" si="39"/>
        <v/>
      </c>
      <c r="T171" s="20" t="e">
        <f t="shared" si="40"/>
        <v>#VALUE!</v>
      </c>
      <c r="U171" s="42" t="e">
        <f>MasterDataTbl[[#This Row],[2026 Total Points]]+(MasterDataTbl[[#This Row],[Goal Difference]]/1000)</f>
        <v>#VALUE!</v>
      </c>
    </row>
    <row r="172" spans="1:21" x14ac:dyDescent="0.25">
      <c r="A172" s="41"/>
      <c r="B172" s="16"/>
      <c r="C172" s="3"/>
      <c r="D172" s="3"/>
      <c r="E172" s="3"/>
      <c r="F172" s="26" t="str">
        <f t="shared" si="37"/>
        <v/>
      </c>
      <c r="G172" s="26" t="str">
        <f t="shared" si="38"/>
        <v/>
      </c>
      <c r="H172" s="25"/>
      <c r="I172" s="13"/>
      <c r="J172" s="2"/>
      <c r="K172" s="2"/>
      <c r="L172" s="2"/>
      <c r="M172" s="26"/>
      <c r="N172" s="3"/>
      <c r="O172" s="3"/>
      <c r="P172" s="3"/>
      <c r="Q172" s="10" t="str">
        <f>IF(OR(O172="",P172=""),"",SUMIFS('1. Points System'!$E$3:$E$24,'1. Points System'!$C$3:$C$24,O172,'1. Points System'!$D$3:$D$24,P172))</f>
        <v/>
      </c>
      <c r="R172" s="21"/>
      <c r="S172" s="6" t="str">
        <f t="shared" si="39"/>
        <v/>
      </c>
      <c r="T172" s="20" t="e">
        <f t="shared" si="40"/>
        <v>#VALUE!</v>
      </c>
      <c r="U172" s="42" t="e">
        <f>MasterDataTbl[[#This Row],[2026 Total Points]]+(MasterDataTbl[[#This Row],[Goal Difference]]/1000)</f>
        <v>#VALUE!</v>
      </c>
    </row>
    <row r="173" spans="1:21" x14ac:dyDescent="0.25">
      <c r="A173" s="41"/>
      <c r="B173" s="16"/>
      <c r="C173" s="3"/>
      <c r="D173" s="3"/>
      <c r="E173" s="3"/>
      <c r="F173" s="26" t="str">
        <f t="shared" si="37"/>
        <v/>
      </c>
      <c r="G173" s="26" t="str">
        <f t="shared" si="38"/>
        <v/>
      </c>
      <c r="H173" s="25"/>
      <c r="I173" s="13"/>
      <c r="J173" s="2"/>
      <c r="K173" s="2"/>
      <c r="L173" s="2"/>
      <c r="M173" s="26"/>
      <c r="N173" s="3"/>
      <c r="O173" s="3"/>
      <c r="P173" s="3"/>
      <c r="Q173" s="10" t="str">
        <f>IF(OR(O173="",P173=""),"",SUMIFS('1. Points System'!$E$3:$E$24,'1. Points System'!$C$3:$C$24,O173,'1. Points System'!$D$3:$D$24,P173))</f>
        <v/>
      </c>
      <c r="R173" s="21"/>
      <c r="S173" s="6" t="str">
        <f t="shared" si="39"/>
        <v/>
      </c>
      <c r="T173" s="20" t="e">
        <f t="shared" si="40"/>
        <v>#VALUE!</v>
      </c>
      <c r="U173" s="42" t="e">
        <f>MasterDataTbl[[#This Row],[2026 Total Points]]+(MasterDataTbl[[#This Row],[Goal Difference]]/1000)</f>
        <v>#VALUE!</v>
      </c>
    </row>
    <row r="174" spans="1:21" x14ac:dyDescent="0.25">
      <c r="A174" s="41"/>
      <c r="B174" s="16"/>
      <c r="C174" s="3"/>
      <c r="D174" s="3"/>
      <c r="E174" s="3"/>
      <c r="F174" s="26" t="str">
        <f t="shared" si="37"/>
        <v/>
      </c>
      <c r="G174" s="26" t="str">
        <f t="shared" si="38"/>
        <v/>
      </c>
      <c r="H174" s="25"/>
      <c r="I174" s="13"/>
      <c r="J174" s="2"/>
      <c r="K174" s="2"/>
      <c r="L174" s="2"/>
      <c r="M174" s="26"/>
      <c r="N174" s="3"/>
      <c r="O174" s="3"/>
      <c r="P174" s="3"/>
      <c r="Q174" s="10" t="str">
        <f>IF(OR(O174="",P174=""),"",SUMIFS('1. Points System'!$E$3:$E$24,'1. Points System'!$C$3:$C$24,O174,'1. Points System'!$D$3:$D$24,P174))</f>
        <v/>
      </c>
      <c r="R174" s="21"/>
      <c r="S174" s="6" t="str">
        <f t="shared" si="39"/>
        <v/>
      </c>
      <c r="T174" s="20" t="e">
        <f t="shared" si="40"/>
        <v>#VALUE!</v>
      </c>
      <c r="U174" s="42" t="e">
        <f>MasterDataTbl[[#This Row],[2026 Total Points]]+(MasterDataTbl[[#This Row],[Goal Difference]]/1000)</f>
        <v>#VALUE!</v>
      </c>
    </row>
    <row r="175" spans="1:21" x14ac:dyDescent="0.25">
      <c r="A175" s="41"/>
      <c r="B175" s="16"/>
      <c r="C175" s="3"/>
      <c r="D175" s="3"/>
      <c r="E175" s="3"/>
      <c r="F175" s="26" t="str">
        <f t="shared" si="37"/>
        <v/>
      </c>
      <c r="G175" s="26" t="str">
        <f t="shared" si="38"/>
        <v/>
      </c>
      <c r="H175" s="25"/>
      <c r="I175" s="13"/>
      <c r="J175" s="2"/>
      <c r="K175" s="2"/>
      <c r="L175" s="2"/>
      <c r="M175" s="26"/>
      <c r="N175" s="3"/>
      <c r="O175" s="3"/>
      <c r="P175" s="3"/>
      <c r="Q175" s="10" t="str">
        <f>IF(OR(O175="",P175=""),"",SUMIFS('1. Points System'!$E$3:$E$24,'1. Points System'!$C$3:$C$24,O175,'1. Points System'!$D$3:$D$24,P175))</f>
        <v/>
      </c>
      <c r="R175" s="21"/>
      <c r="S175" s="6" t="str">
        <f t="shared" si="39"/>
        <v/>
      </c>
      <c r="T175" s="20" t="e">
        <f t="shared" si="40"/>
        <v>#VALUE!</v>
      </c>
      <c r="U175" s="42" t="e">
        <f>MasterDataTbl[[#This Row],[2026 Total Points]]+(MasterDataTbl[[#This Row],[Goal Difference]]/1000)</f>
        <v>#VALUE!</v>
      </c>
    </row>
    <row r="176" spans="1:21" x14ac:dyDescent="0.25">
      <c r="A176" s="41"/>
      <c r="B176" s="16"/>
      <c r="C176" s="3"/>
      <c r="D176" s="3"/>
      <c r="E176" s="3"/>
      <c r="F176" s="26" t="str">
        <f t="shared" si="37"/>
        <v/>
      </c>
      <c r="G176" s="26" t="str">
        <f t="shared" si="38"/>
        <v/>
      </c>
      <c r="H176" s="25"/>
      <c r="I176" s="13"/>
      <c r="J176" s="2"/>
      <c r="K176" s="2"/>
      <c r="L176" s="2"/>
      <c r="M176" s="26"/>
      <c r="N176" s="3"/>
      <c r="O176" s="3"/>
      <c r="P176" s="3"/>
      <c r="Q176" s="10" t="str">
        <f>IF(OR(O176="",P176=""),"",SUMIFS('1. Points System'!$E$3:$E$24,'1. Points System'!$C$3:$C$24,O176,'1. Points System'!$D$3:$D$24,P176))</f>
        <v/>
      </c>
      <c r="R176" s="21"/>
      <c r="S176" s="6" t="str">
        <f t="shared" si="39"/>
        <v/>
      </c>
      <c r="T176" s="20" t="e">
        <f t="shared" si="40"/>
        <v>#VALUE!</v>
      </c>
      <c r="U176" s="42" t="e">
        <f>MasterDataTbl[[#This Row],[2026 Total Points]]+(MasterDataTbl[[#This Row],[Goal Difference]]/1000)</f>
        <v>#VALUE!</v>
      </c>
    </row>
    <row r="177" spans="1:21" x14ac:dyDescent="0.25">
      <c r="A177" s="41"/>
      <c r="B177" s="16"/>
      <c r="C177" s="3"/>
      <c r="D177" s="3"/>
      <c r="E177" s="3"/>
      <c r="F177" s="26" t="str">
        <f t="shared" si="37"/>
        <v/>
      </c>
      <c r="G177" s="26" t="str">
        <f t="shared" si="38"/>
        <v/>
      </c>
      <c r="H177" s="25"/>
      <c r="I177" s="13"/>
      <c r="J177" s="2"/>
      <c r="K177" s="2"/>
      <c r="L177" s="2"/>
      <c r="M177" s="26"/>
      <c r="N177" s="3"/>
      <c r="O177" s="3"/>
      <c r="P177" s="3"/>
      <c r="Q177" s="10" t="str">
        <f>IF(OR(O177="",P177=""),"",SUMIFS('1. Points System'!$E$3:$E$24,'1. Points System'!$C$3:$C$24,O177,'1. Points System'!$D$3:$D$24,P177))</f>
        <v/>
      </c>
      <c r="R177" s="21"/>
      <c r="S177" s="6" t="str">
        <f t="shared" si="39"/>
        <v/>
      </c>
      <c r="T177" s="20" t="e">
        <f t="shared" si="40"/>
        <v>#VALUE!</v>
      </c>
      <c r="U177" s="42" t="e">
        <f>MasterDataTbl[[#This Row],[2026 Total Points]]+(MasterDataTbl[[#This Row],[Goal Difference]]/1000)</f>
        <v>#VALUE!</v>
      </c>
    </row>
    <row r="178" spans="1:21" x14ac:dyDescent="0.25">
      <c r="A178" s="41"/>
      <c r="B178" s="16"/>
      <c r="C178" s="3"/>
      <c r="D178" s="3"/>
      <c r="E178" s="3"/>
      <c r="F178" s="26" t="str">
        <f t="shared" si="37"/>
        <v/>
      </c>
      <c r="G178" s="26" t="str">
        <f t="shared" si="38"/>
        <v/>
      </c>
      <c r="H178" s="25"/>
      <c r="I178" s="13"/>
      <c r="J178" s="2"/>
      <c r="K178" s="2"/>
      <c r="L178" s="2"/>
      <c r="M178" s="26"/>
      <c r="N178" s="3"/>
      <c r="O178" s="3"/>
      <c r="P178" s="3"/>
      <c r="Q178" s="10" t="str">
        <f>IF(OR(O178="",P178=""),"",SUMIFS('1. Points System'!$E$3:$E$24,'1. Points System'!$C$3:$C$24,O178,'1. Points System'!$D$3:$D$24,P178))</f>
        <v/>
      </c>
      <c r="R178" s="21"/>
      <c r="S178" s="6" t="str">
        <f t="shared" si="39"/>
        <v/>
      </c>
      <c r="T178" s="20" t="e">
        <f t="shared" si="40"/>
        <v>#VALUE!</v>
      </c>
      <c r="U178" s="42" t="e">
        <f>MasterDataTbl[[#This Row],[2026 Total Points]]+(MasterDataTbl[[#This Row],[Goal Difference]]/1000)</f>
        <v>#VALUE!</v>
      </c>
    </row>
    <row r="179" spans="1:21" x14ac:dyDescent="0.25">
      <c r="A179" s="41"/>
      <c r="B179" s="16"/>
      <c r="C179" s="3"/>
      <c r="D179" s="3"/>
      <c r="E179" s="3"/>
      <c r="F179" s="26" t="str">
        <f t="shared" si="37"/>
        <v/>
      </c>
      <c r="G179" s="26" t="str">
        <f t="shared" si="38"/>
        <v/>
      </c>
      <c r="H179" s="25"/>
      <c r="I179" s="13"/>
      <c r="J179" s="2"/>
      <c r="K179" s="2"/>
      <c r="L179" s="2"/>
      <c r="M179" s="26"/>
      <c r="N179" s="3"/>
      <c r="O179" s="3"/>
      <c r="P179" s="3"/>
      <c r="Q179" s="10" t="str">
        <f>IF(OR(O179="",P179=""),"",SUMIFS('1. Points System'!$E$3:$E$24,'1. Points System'!$C$3:$C$24,O179,'1. Points System'!$D$3:$D$24,P179))</f>
        <v/>
      </c>
      <c r="R179" s="21"/>
      <c r="S179" s="6" t="str">
        <f t="shared" si="39"/>
        <v/>
      </c>
      <c r="T179" s="20" t="e">
        <f t="shared" si="40"/>
        <v>#VALUE!</v>
      </c>
      <c r="U179" s="42" t="e">
        <f>MasterDataTbl[[#This Row],[2026 Total Points]]+(MasterDataTbl[[#This Row],[Goal Difference]]/1000)</f>
        <v>#VALUE!</v>
      </c>
    </row>
    <row r="180" spans="1:21" x14ac:dyDescent="0.25">
      <c r="A180" s="41"/>
      <c r="B180" s="16"/>
      <c r="C180" s="3"/>
      <c r="D180" s="3"/>
      <c r="E180" s="3"/>
      <c r="F180" s="26" t="str">
        <f t="shared" si="37"/>
        <v/>
      </c>
      <c r="G180" s="26" t="str">
        <f t="shared" si="38"/>
        <v/>
      </c>
      <c r="H180" s="25"/>
      <c r="I180" s="13"/>
      <c r="J180" s="2"/>
      <c r="K180" s="2"/>
      <c r="L180" s="2"/>
      <c r="M180" s="26"/>
      <c r="N180" s="3"/>
      <c r="O180" s="3"/>
      <c r="P180" s="3"/>
      <c r="Q180" s="10" t="str">
        <f>IF(OR(O180="",P180=""),"",SUMIFS('1. Points System'!$E$3:$E$24,'1. Points System'!$C$3:$C$24,O180,'1. Points System'!$D$3:$D$24,P180))</f>
        <v/>
      </c>
      <c r="R180" s="21"/>
      <c r="S180" s="6" t="str">
        <f t="shared" si="39"/>
        <v/>
      </c>
      <c r="T180" s="20" t="e">
        <f t="shared" si="40"/>
        <v>#VALUE!</v>
      </c>
      <c r="U180" s="42" t="e">
        <f>MasterDataTbl[[#This Row],[2026 Total Points]]+(MasterDataTbl[[#This Row],[Goal Difference]]/1000)</f>
        <v>#VALUE!</v>
      </c>
    </row>
    <row r="181" spans="1:21" x14ac:dyDescent="0.25">
      <c r="A181" s="41"/>
      <c r="B181" s="16"/>
      <c r="C181" s="3"/>
      <c r="D181" s="3"/>
      <c r="E181" s="3"/>
      <c r="F181" s="26" t="str">
        <f t="shared" si="37"/>
        <v/>
      </c>
      <c r="G181" s="26" t="str">
        <f t="shared" si="38"/>
        <v/>
      </c>
      <c r="H181" s="25"/>
      <c r="I181" s="13"/>
      <c r="J181" s="2"/>
      <c r="K181" s="2"/>
      <c r="L181" s="2"/>
      <c r="M181" s="26"/>
      <c r="N181" s="3"/>
      <c r="O181" s="3"/>
      <c r="P181" s="3"/>
      <c r="Q181" s="10" t="str">
        <f>IF(OR(O181="",P181=""),"",SUMIFS('1. Points System'!$E$3:$E$24,'1. Points System'!$C$3:$C$24,O181,'1. Points System'!$D$3:$D$24,P181))</f>
        <v/>
      </c>
      <c r="R181" s="21"/>
      <c r="S181" s="6" t="str">
        <f t="shared" si="39"/>
        <v/>
      </c>
      <c r="T181" s="20" t="e">
        <f t="shared" si="40"/>
        <v>#VALUE!</v>
      </c>
      <c r="U181" s="42" t="e">
        <f>MasterDataTbl[[#This Row],[2026 Total Points]]+(MasterDataTbl[[#This Row],[Goal Difference]]/1000)</f>
        <v>#VALUE!</v>
      </c>
    </row>
    <row r="182" spans="1:21" x14ac:dyDescent="0.25">
      <c r="A182" s="41"/>
      <c r="B182" s="16"/>
      <c r="C182" s="3"/>
      <c r="D182" s="3"/>
      <c r="E182" s="3"/>
      <c r="F182" s="26" t="str">
        <f t="shared" si="37"/>
        <v/>
      </c>
      <c r="G182" s="26" t="str">
        <f t="shared" si="38"/>
        <v/>
      </c>
      <c r="H182" s="25"/>
      <c r="I182" s="13"/>
      <c r="J182" s="2"/>
      <c r="K182" s="2"/>
      <c r="L182" s="2"/>
      <c r="M182" s="26"/>
      <c r="N182" s="3"/>
      <c r="O182" s="3"/>
      <c r="P182" s="3"/>
      <c r="Q182" s="10" t="str">
        <f>IF(OR(O182="",P182=""),"",SUMIFS('1. Points System'!$E$3:$E$24,'1. Points System'!$C$3:$C$24,O182,'1. Points System'!$D$3:$D$24,P182))</f>
        <v/>
      </c>
      <c r="R182" s="21"/>
      <c r="S182" s="6" t="str">
        <f t="shared" si="39"/>
        <v/>
      </c>
      <c r="T182" s="20" t="e">
        <f t="shared" si="40"/>
        <v>#VALUE!</v>
      </c>
      <c r="U182" s="42" t="e">
        <f>MasterDataTbl[[#This Row],[2026 Total Points]]+(MasterDataTbl[[#This Row],[Goal Difference]]/1000)</f>
        <v>#VALUE!</v>
      </c>
    </row>
    <row r="183" spans="1:21" x14ac:dyDescent="0.25">
      <c r="A183" s="41"/>
      <c r="B183" s="16"/>
      <c r="C183" s="3"/>
      <c r="D183" s="3"/>
      <c r="E183" s="3"/>
      <c r="F183" s="26" t="str">
        <f t="shared" si="37"/>
        <v/>
      </c>
      <c r="G183" s="26" t="str">
        <f t="shared" si="38"/>
        <v/>
      </c>
      <c r="H183" s="25"/>
      <c r="I183" s="13"/>
      <c r="J183" s="2"/>
      <c r="K183" s="2"/>
      <c r="L183" s="2"/>
      <c r="M183" s="26"/>
      <c r="N183" s="3"/>
      <c r="O183" s="3"/>
      <c r="P183" s="3"/>
      <c r="Q183" s="10" t="str">
        <f>IF(OR(O183="",P183=""),"",SUMIFS('1. Points System'!$E$3:$E$24,'1. Points System'!$C$3:$C$24,O183,'1. Points System'!$D$3:$D$24,P183))</f>
        <v/>
      </c>
      <c r="R183" s="21"/>
      <c r="S183" s="6" t="str">
        <f t="shared" si="39"/>
        <v/>
      </c>
      <c r="T183" s="20" t="e">
        <f t="shared" si="40"/>
        <v>#VALUE!</v>
      </c>
      <c r="U183" s="42" t="e">
        <f>MasterDataTbl[[#This Row],[2026 Total Points]]+(MasterDataTbl[[#This Row],[Goal Difference]]/1000)</f>
        <v>#VALUE!</v>
      </c>
    </row>
    <row r="184" spans="1:21" x14ac:dyDescent="0.25">
      <c r="A184" s="41"/>
      <c r="B184" s="16"/>
      <c r="C184" s="3"/>
      <c r="D184" s="3"/>
      <c r="E184" s="3"/>
      <c r="F184" s="26" t="str">
        <f t="shared" si="37"/>
        <v/>
      </c>
      <c r="G184" s="26" t="str">
        <f t="shared" si="38"/>
        <v/>
      </c>
      <c r="H184" s="25"/>
      <c r="I184" s="13"/>
      <c r="J184" s="2"/>
      <c r="K184" s="2"/>
      <c r="L184" s="2"/>
      <c r="M184" s="26"/>
      <c r="N184" s="3"/>
      <c r="O184" s="3"/>
      <c r="P184" s="3"/>
      <c r="Q184" s="10" t="str">
        <f>IF(OR(O184="",P184=""),"",SUMIFS('1. Points System'!$E$3:$E$24,'1. Points System'!$C$3:$C$24,O184,'1. Points System'!$D$3:$D$24,P184))</f>
        <v/>
      </c>
      <c r="R184" s="21"/>
      <c r="S184" s="6" t="str">
        <f t="shared" si="39"/>
        <v/>
      </c>
      <c r="T184" s="20" t="e">
        <f t="shared" si="40"/>
        <v>#VALUE!</v>
      </c>
      <c r="U184" s="42" t="e">
        <f>MasterDataTbl[[#This Row],[2026 Total Points]]+(MasterDataTbl[[#This Row],[Goal Difference]]/1000)</f>
        <v>#VALUE!</v>
      </c>
    </row>
    <row r="185" spans="1:21" x14ac:dyDescent="0.25">
      <c r="A185" s="41"/>
      <c r="B185" s="16"/>
      <c r="C185" s="3"/>
      <c r="D185" s="3"/>
      <c r="E185" s="3"/>
      <c r="F185" s="26" t="str">
        <f t="shared" si="37"/>
        <v/>
      </c>
      <c r="G185" s="26" t="str">
        <f t="shared" si="38"/>
        <v/>
      </c>
      <c r="H185" s="25"/>
      <c r="I185" s="13"/>
      <c r="J185" s="2"/>
      <c r="K185" s="2"/>
      <c r="L185" s="2"/>
      <c r="M185" s="26"/>
      <c r="N185" s="3"/>
      <c r="O185" s="3"/>
      <c r="P185" s="3"/>
      <c r="Q185" s="10" t="str">
        <f>IF(OR(O185="",P185=""),"",SUMIFS('1. Points System'!$E$3:$E$24,'1. Points System'!$C$3:$C$24,O185,'1. Points System'!$D$3:$D$24,P185))</f>
        <v/>
      </c>
      <c r="R185" s="21"/>
      <c r="S185" s="6" t="str">
        <f t="shared" si="39"/>
        <v/>
      </c>
      <c r="T185" s="20" t="e">
        <f t="shared" si="40"/>
        <v>#VALUE!</v>
      </c>
      <c r="U185" s="42" t="e">
        <f>MasterDataTbl[[#This Row],[2026 Total Points]]+(MasterDataTbl[[#This Row],[Goal Difference]]/1000)</f>
        <v>#VALUE!</v>
      </c>
    </row>
    <row r="186" spans="1:21" x14ac:dyDescent="0.25">
      <c r="A186" s="41"/>
      <c r="B186" s="16"/>
      <c r="C186" s="3"/>
      <c r="D186" s="3"/>
      <c r="E186" s="3"/>
      <c r="F186" s="26" t="str">
        <f t="shared" si="37"/>
        <v/>
      </c>
      <c r="G186" s="26" t="str">
        <f t="shared" si="38"/>
        <v/>
      </c>
      <c r="H186" s="25"/>
      <c r="I186" s="13"/>
      <c r="J186" s="2"/>
      <c r="K186" s="2"/>
      <c r="L186" s="2"/>
      <c r="M186" s="26"/>
      <c r="N186" s="3"/>
      <c r="O186" s="3"/>
      <c r="P186" s="3"/>
      <c r="Q186" s="10" t="str">
        <f>IF(OR(O186="",P186=""),"",SUMIFS('1. Points System'!$E$3:$E$24,'1. Points System'!$C$3:$C$24,O186,'1. Points System'!$D$3:$D$24,P186))</f>
        <v/>
      </c>
      <c r="R186" s="21"/>
      <c r="S186" s="6" t="str">
        <f t="shared" si="39"/>
        <v/>
      </c>
      <c r="T186" s="20" t="e">
        <f t="shared" si="40"/>
        <v>#VALUE!</v>
      </c>
      <c r="U186" s="42" t="e">
        <f>MasterDataTbl[[#This Row],[2026 Total Points]]+(MasterDataTbl[[#This Row],[Goal Difference]]/1000)</f>
        <v>#VALUE!</v>
      </c>
    </row>
    <row r="187" spans="1:21" x14ac:dyDescent="0.25">
      <c r="A187" s="41"/>
      <c r="B187" s="16"/>
      <c r="C187" s="3"/>
      <c r="D187" s="3"/>
      <c r="E187" s="3"/>
      <c r="F187" s="26" t="str">
        <f t="shared" si="37"/>
        <v/>
      </c>
      <c r="G187" s="26" t="str">
        <f t="shared" si="38"/>
        <v/>
      </c>
      <c r="H187" s="25"/>
      <c r="I187" s="13"/>
      <c r="J187" s="2"/>
      <c r="K187" s="2"/>
      <c r="L187" s="2"/>
      <c r="M187" s="26"/>
      <c r="N187" s="3"/>
      <c r="O187" s="3"/>
      <c r="P187" s="3"/>
      <c r="Q187" s="10" t="str">
        <f>IF(OR(O187="",P187=""),"",SUMIFS('1. Points System'!$E$3:$E$24,'1. Points System'!$C$3:$C$24,O187,'1. Points System'!$D$3:$D$24,P187))</f>
        <v/>
      </c>
      <c r="R187" s="21"/>
      <c r="S187" s="6" t="str">
        <f t="shared" si="39"/>
        <v/>
      </c>
      <c r="T187" s="20" t="e">
        <f t="shared" si="40"/>
        <v>#VALUE!</v>
      </c>
      <c r="U187" s="42" t="e">
        <f>MasterDataTbl[[#This Row],[2026 Total Points]]+(MasterDataTbl[[#This Row],[Goal Difference]]/1000)</f>
        <v>#VALUE!</v>
      </c>
    </row>
    <row r="188" spans="1:21" x14ac:dyDescent="0.25">
      <c r="A188" s="41"/>
      <c r="B188" s="16"/>
      <c r="C188" s="3"/>
      <c r="D188" s="3"/>
      <c r="E188" s="3"/>
      <c r="F188" s="26" t="str">
        <f t="shared" si="37"/>
        <v/>
      </c>
      <c r="G188" s="26" t="str">
        <f t="shared" si="38"/>
        <v/>
      </c>
      <c r="H188" s="25"/>
      <c r="I188" s="13"/>
      <c r="J188" s="2"/>
      <c r="K188" s="2"/>
      <c r="L188" s="2"/>
      <c r="M188" s="26"/>
      <c r="N188" s="3"/>
      <c r="O188" s="3"/>
      <c r="P188" s="3"/>
      <c r="Q188" s="10" t="str">
        <f>IF(OR(O188="",P188=""),"",SUMIFS('1. Points System'!$E$3:$E$24,'1. Points System'!$C$3:$C$24,O188,'1. Points System'!$D$3:$D$24,P188))</f>
        <v/>
      </c>
      <c r="R188" s="21"/>
      <c r="S188" s="6" t="str">
        <f t="shared" si="39"/>
        <v/>
      </c>
      <c r="T188" s="20" t="e">
        <f t="shared" si="40"/>
        <v>#VALUE!</v>
      </c>
      <c r="U188" s="42" t="e">
        <f>MasterDataTbl[[#This Row],[2026 Total Points]]+(MasterDataTbl[[#This Row],[Goal Difference]]/1000)</f>
        <v>#VALUE!</v>
      </c>
    </row>
    <row r="189" spans="1:21" x14ac:dyDescent="0.25">
      <c r="A189" s="41"/>
      <c r="B189" s="16"/>
      <c r="C189" s="3"/>
      <c r="D189" s="3"/>
      <c r="E189" s="3"/>
      <c r="F189" s="26" t="str">
        <f t="shared" si="37"/>
        <v/>
      </c>
      <c r="G189" s="26" t="str">
        <f t="shared" si="38"/>
        <v/>
      </c>
      <c r="H189" s="25"/>
      <c r="I189" s="13"/>
      <c r="J189" s="2"/>
      <c r="K189" s="2"/>
      <c r="L189" s="2"/>
      <c r="M189" s="26"/>
      <c r="N189" s="3"/>
      <c r="O189" s="3"/>
      <c r="P189" s="3"/>
      <c r="Q189" s="10" t="str">
        <f>IF(OR(O189="",P189=""),"",SUMIFS('1. Points System'!$E$3:$E$24,'1. Points System'!$C$3:$C$24,O189,'1. Points System'!$D$3:$D$24,P189))</f>
        <v/>
      </c>
      <c r="R189" s="21"/>
      <c r="S189" s="6" t="str">
        <f t="shared" ref="S189:S205" si="41">Q189</f>
        <v/>
      </c>
      <c r="T189" s="20" t="e">
        <f t="shared" ref="T189:T205" si="42">S189/2</f>
        <v>#VALUE!</v>
      </c>
      <c r="U189" s="42" t="e">
        <f>MasterDataTbl[[#This Row],[2026 Total Points]]+(MasterDataTbl[[#This Row],[Goal Difference]]/1000)</f>
        <v>#VALUE!</v>
      </c>
    </row>
    <row r="190" spans="1:21" x14ac:dyDescent="0.25">
      <c r="A190" s="41"/>
      <c r="B190" s="16"/>
      <c r="C190" s="3"/>
      <c r="D190" s="3"/>
      <c r="E190" s="3"/>
      <c r="F190" s="26" t="str">
        <f t="shared" si="37"/>
        <v/>
      </c>
      <c r="G190" s="26" t="str">
        <f t="shared" si="38"/>
        <v/>
      </c>
      <c r="H190" s="25"/>
      <c r="I190" s="13"/>
      <c r="J190" s="2"/>
      <c r="K190" s="2"/>
      <c r="L190" s="2"/>
      <c r="M190" s="26"/>
      <c r="N190" s="3"/>
      <c r="O190" s="3"/>
      <c r="P190" s="3"/>
      <c r="Q190" s="10" t="str">
        <f>IF(OR(O190="",P190=""),"",SUMIFS('1. Points System'!$E$3:$E$24,'1. Points System'!$C$3:$C$24,O190,'1. Points System'!$D$3:$D$24,P190))</f>
        <v/>
      </c>
      <c r="R190" s="21"/>
      <c r="S190" s="6" t="str">
        <f t="shared" si="41"/>
        <v/>
      </c>
      <c r="T190" s="20" t="e">
        <f t="shared" si="42"/>
        <v>#VALUE!</v>
      </c>
      <c r="U190" s="42" t="e">
        <f>MasterDataTbl[[#This Row],[2026 Total Points]]+(MasterDataTbl[[#This Row],[Goal Difference]]/1000)</f>
        <v>#VALUE!</v>
      </c>
    </row>
    <row r="191" spans="1:21" x14ac:dyDescent="0.25">
      <c r="A191" s="41"/>
      <c r="B191" s="16"/>
      <c r="C191" s="3"/>
      <c r="D191" s="3"/>
      <c r="E191" s="3"/>
      <c r="F191" s="26" t="str">
        <f t="shared" si="37"/>
        <v/>
      </c>
      <c r="G191" s="26" t="str">
        <f t="shared" si="38"/>
        <v/>
      </c>
      <c r="H191" s="25"/>
      <c r="I191" s="13"/>
      <c r="J191" s="2"/>
      <c r="K191" s="2"/>
      <c r="L191" s="2"/>
      <c r="M191" s="26"/>
      <c r="N191" s="3"/>
      <c r="O191" s="3"/>
      <c r="P191" s="3"/>
      <c r="Q191" s="10" t="str">
        <f>IF(OR(O191="",P191=""),"",SUMIFS('1. Points System'!$E$3:$E$24,'1. Points System'!$C$3:$C$24,O191,'1. Points System'!$D$3:$D$24,P191))</f>
        <v/>
      </c>
      <c r="R191" s="21"/>
      <c r="S191" s="6" t="str">
        <f t="shared" si="41"/>
        <v/>
      </c>
      <c r="T191" s="20" t="e">
        <f t="shared" si="42"/>
        <v>#VALUE!</v>
      </c>
      <c r="U191" s="42" t="e">
        <f>MasterDataTbl[[#This Row],[2026 Total Points]]+(MasterDataTbl[[#This Row],[Goal Difference]]/1000)</f>
        <v>#VALUE!</v>
      </c>
    </row>
    <row r="192" spans="1:21" x14ac:dyDescent="0.25">
      <c r="A192" s="41"/>
      <c r="B192" s="16"/>
      <c r="C192" s="3"/>
      <c r="D192" s="3"/>
      <c r="E192" s="3"/>
      <c r="F192" s="26" t="str">
        <f t="shared" si="37"/>
        <v/>
      </c>
      <c r="G192" s="26" t="str">
        <f t="shared" si="38"/>
        <v/>
      </c>
      <c r="H192" s="25"/>
      <c r="I192" s="13"/>
      <c r="J192" s="2"/>
      <c r="K192" s="2"/>
      <c r="L192" s="2"/>
      <c r="M192" s="26"/>
      <c r="N192" s="3"/>
      <c r="O192" s="3"/>
      <c r="P192" s="3"/>
      <c r="Q192" s="10" t="str">
        <f>IF(OR(O192="",P192=""),"",SUMIFS('1. Points System'!$E$3:$E$24,'1. Points System'!$C$3:$C$24,O192,'1. Points System'!$D$3:$D$24,P192))</f>
        <v/>
      </c>
      <c r="R192" s="21"/>
      <c r="S192" s="6" t="str">
        <f t="shared" si="41"/>
        <v/>
      </c>
      <c r="T192" s="20" t="e">
        <f t="shared" si="42"/>
        <v>#VALUE!</v>
      </c>
      <c r="U192" s="42" t="e">
        <f>MasterDataTbl[[#This Row],[2026 Total Points]]+(MasterDataTbl[[#This Row],[Goal Difference]]/1000)</f>
        <v>#VALUE!</v>
      </c>
    </row>
    <row r="193" spans="1:21" x14ac:dyDescent="0.25">
      <c r="A193" s="41"/>
      <c r="B193" s="16"/>
      <c r="C193" s="3"/>
      <c r="D193" s="3"/>
      <c r="E193" s="3"/>
      <c r="F193" s="26" t="str">
        <f t="shared" si="37"/>
        <v/>
      </c>
      <c r="G193" s="26" t="str">
        <f t="shared" si="38"/>
        <v/>
      </c>
      <c r="H193" s="25"/>
      <c r="I193" s="13"/>
      <c r="J193" s="2"/>
      <c r="K193" s="2"/>
      <c r="L193" s="2"/>
      <c r="M193" s="26"/>
      <c r="N193" s="3"/>
      <c r="O193" s="3"/>
      <c r="P193" s="3"/>
      <c r="Q193" s="10" t="str">
        <f>IF(OR(O193="",P193=""),"",SUMIFS('1. Points System'!$E$3:$E$24,'1. Points System'!$C$3:$C$24,O193,'1. Points System'!$D$3:$D$24,P193))</f>
        <v/>
      </c>
      <c r="R193" s="21"/>
      <c r="S193" s="6" t="str">
        <f t="shared" si="41"/>
        <v/>
      </c>
      <c r="T193" s="20" t="e">
        <f t="shared" si="42"/>
        <v>#VALUE!</v>
      </c>
      <c r="U193" s="42" t="e">
        <f>MasterDataTbl[[#This Row],[2026 Total Points]]+(MasterDataTbl[[#This Row],[Goal Difference]]/1000)</f>
        <v>#VALUE!</v>
      </c>
    </row>
    <row r="194" spans="1:21" x14ac:dyDescent="0.25">
      <c r="A194" s="41"/>
      <c r="B194" s="16"/>
      <c r="C194" s="3"/>
      <c r="D194" s="3"/>
      <c r="E194" s="3"/>
      <c r="F194" s="26" t="str">
        <f t="shared" si="37"/>
        <v/>
      </c>
      <c r="G194" s="26" t="str">
        <f t="shared" si="38"/>
        <v/>
      </c>
      <c r="H194" s="25"/>
      <c r="I194" s="13"/>
      <c r="J194" s="2"/>
      <c r="K194" s="2"/>
      <c r="L194" s="2"/>
      <c r="M194" s="26"/>
      <c r="N194" s="3"/>
      <c r="O194" s="3"/>
      <c r="P194" s="3"/>
      <c r="Q194" s="10" t="str">
        <f>IF(OR(O194="",P194=""),"",SUMIFS('1. Points System'!$E$3:$E$24,'1. Points System'!$C$3:$C$24,O194,'1. Points System'!$D$3:$D$24,P194))</f>
        <v/>
      </c>
      <c r="R194" s="21"/>
      <c r="S194" s="6" t="str">
        <f t="shared" si="41"/>
        <v/>
      </c>
      <c r="T194" s="20" t="e">
        <f t="shared" si="42"/>
        <v>#VALUE!</v>
      </c>
      <c r="U194" s="42" t="e">
        <f>MasterDataTbl[[#This Row],[2026 Total Points]]+(MasterDataTbl[[#This Row],[Goal Difference]]/1000)</f>
        <v>#VALUE!</v>
      </c>
    </row>
    <row r="195" spans="1:21" x14ac:dyDescent="0.25">
      <c r="A195" s="41"/>
      <c r="B195" s="16"/>
      <c r="C195" s="3"/>
      <c r="D195" s="3"/>
      <c r="E195" s="3"/>
      <c r="F195" s="26" t="str">
        <f t="shared" ref="F195:F205" si="43">IF($I195="","",IF(TRIM(SUBSTITUTE($C195,CHAR(160)," "))=TRIM(SUBSTITUTE($I195,CHAR(160)," ")),$K195,$L195))</f>
        <v/>
      </c>
      <c r="G195" s="26" t="str">
        <f t="shared" ref="G195:G205" si="44">IF($I195="","",IF(TRIM(SUBSTITUTE($C195,CHAR(160)," "))=TRIM(SUBSTITUTE($I195,CHAR(160)," ")),$L195,$K195))</f>
        <v/>
      </c>
      <c r="H195" s="25"/>
      <c r="I195" s="13"/>
      <c r="J195" s="2"/>
      <c r="K195" s="2"/>
      <c r="L195" s="2"/>
      <c r="M195" s="26"/>
      <c r="N195" s="3"/>
      <c r="O195" s="3"/>
      <c r="P195" s="3"/>
      <c r="Q195" s="10" t="str">
        <f>IF(OR(O195="",P195=""),"",SUMIFS('1. Points System'!$E$3:$E$24,'1. Points System'!$C$3:$C$24,O195,'1. Points System'!$D$3:$D$24,P195))</f>
        <v/>
      </c>
      <c r="R195" s="21"/>
      <c r="S195" s="6" t="str">
        <f t="shared" si="41"/>
        <v/>
      </c>
      <c r="T195" s="20" t="e">
        <f t="shared" si="42"/>
        <v>#VALUE!</v>
      </c>
      <c r="U195" s="42" t="e">
        <f>MasterDataTbl[[#This Row],[2026 Total Points]]+(MasterDataTbl[[#This Row],[Goal Difference]]/1000)</f>
        <v>#VALUE!</v>
      </c>
    </row>
    <row r="196" spans="1:21" x14ac:dyDescent="0.25">
      <c r="A196" s="41"/>
      <c r="B196" s="16"/>
      <c r="C196" s="3"/>
      <c r="D196" s="3"/>
      <c r="E196" s="3"/>
      <c r="F196" s="26" t="str">
        <f t="shared" si="43"/>
        <v/>
      </c>
      <c r="G196" s="26" t="str">
        <f t="shared" si="44"/>
        <v/>
      </c>
      <c r="H196" s="25"/>
      <c r="I196" s="13"/>
      <c r="J196" s="2"/>
      <c r="K196" s="2"/>
      <c r="L196" s="2"/>
      <c r="M196" s="26"/>
      <c r="N196" s="3"/>
      <c r="O196" s="3"/>
      <c r="P196" s="3"/>
      <c r="Q196" s="10" t="str">
        <f>IF(OR(O196="",P196=""),"",SUMIFS('1. Points System'!$E$3:$E$24,'1. Points System'!$C$3:$C$24,O196,'1. Points System'!$D$3:$D$24,P196))</f>
        <v/>
      </c>
      <c r="R196" s="21"/>
      <c r="S196" s="6" t="str">
        <f t="shared" si="41"/>
        <v/>
      </c>
      <c r="T196" s="20" t="e">
        <f t="shared" si="42"/>
        <v>#VALUE!</v>
      </c>
      <c r="U196" s="42" t="e">
        <f>MasterDataTbl[[#This Row],[2026 Total Points]]+(MasterDataTbl[[#This Row],[Goal Difference]]/1000)</f>
        <v>#VALUE!</v>
      </c>
    </row>
    <row r="197" spans="1:21" x14ac:dyDescent="0.25">
      <c r="A197" s="41"/>
      <c r="B197" s="16"/>
      <c r="C197" s="3"/>
      <c r="D197" s="3"/>
      <c r="E197" s="3"/>
      <c r="F197" s="26" t="str">
        <f t="shared" si="43"/>
        <v/>
      </c>
      <c r="G197" s="26" t="str">
        <f t="shared" si="44"/>
        <v/>
      </c>
      <c r="H197" s="25"/>
      <c r="I197" s="13"/>
      <c r="J197" s="2"/>
      <c r="K197" s="2"/>
      <c r="L197" s="2"/>
      <c r="M197" s="26"/>
      <c r="N197" s="3"/>
      <c r="O197" s="3"/>
      <c r="P197" s="3"/>
      <c r="Q197" s="10" t="str">
        <f>IF(OR(O197="",P197=""),"",SUMIFS('1. Points System'!$E$3:$E$24,'1. Points System'!$C$3:$C$24,O197,'1. Points System'!$D$3:$D$24,P197))</f>
        <v/>
      </c>
      <c r="R197" s="21"/>
      <c r="S197" s="6" t="str">
        <f t="shared" si="41"/>
        <v/>
      </c>
      <c r="T197" s="20" t="e">
        <f t="shared" si="42"/>
        <v>#VALUE!</v>
      </c>
      <c r="U197" s="42" t="e">
        <f>MasterDataTbl[[#This Row],[2026 Total Points]]+(MasterDataTbl[[#This Row],[Goal Difference]]/1000)</f>
        <v>#VALUE!</v>
      </c>
    </row>
    <row r="198" spans="1:21" x14ac:dyDescent="0.25">
      <c r="A198" s="41"/>
      <c r="B198" s="16"/>
      <c r="C198" s="3"/>
      <c r="D198" s="3"/>
      <c r="E198" s="3"/>
      <c r="F198" s="26" t="str">
        <f t="shared" si="43"/>
        <v/>
      </c>
      <c r="G198" s="26" t="str">
        <f t="shared" si="44"/>
        <v/>
      </c>
      <c r="H198" s="25"/>
      <c r="I198" s="13"/>
      <c r="J198" s="2"/>
      <c r="K198" s="2"/>
      <c r="L198" s="2"/>
      <c r="M198" s="26"/>
      <c r="N198" s="3"/>
      <c r="O198" s="3"/>
      <c r="P198" s="3"/>
      <c r="Q198" s="10" t="str">
        <f>IF(OR(O198="",P198=""),"",SUMIFS('1. Points System'!$E$3:$E$24,'1. Points System'!$C$3:$C$24,O198,'1. Points System'!$D$3:$D$24,P198))</f>
        <v/>
      </c>
      <c r="R198" s="21"/>
      <c r="S198" s="6" t="str">
        <f t="shared" si="41"/>
        <v/>
      </c>
      <c r="T198" s="20" t="e">
        <f t="shared" si="42"/>
        <v>#VALUE!</v>
      </c>
      <c r="U198" s="42" t="e">
        <f>MasterDataTbl[[#This Row],[2026 Total Points]]+(MasterDataTbl[[#This Row],[Goal Difference]]/1000)</f>
        <v>#VALUE!</v>
      </c>
    </row>
    <row r="199" spans="1:21" x14ac:dyDescent="0.25">
      <c r="A199" s="41"/>
      <c r="B199" s="16"/>
      <c r="C199" s="3"/>
      <c r="D199" s="3"/>
      <c r="E199" s="3"/>
      <c r="F199" s="26" t="str">
        <f t="shared" si="43"/>
        <v/>
      </c>
      <c r="G199" s="26" t="str">
        <f t="shared" si="44"/>
        <v/>
      </c>
      <c r="H199" s="25"/>
      <c r="I199" s="13"/>
      <c r="J199" s="2"/>
      <c r="K199" s="2"/>
      <c r="L199" s="2"/>
      <c r="M199" s="26"/>
      <c r="N199" s="3"/>
      <c r="O199" s="3"/>
      <c r="P199" s="3"/>
      <c r="Q199" s="10" t="str">
        <f>IF(OR(O199="",P199=""),"",SUMIFS('1. Points System'!$E$3:$E$24,'1. Points System'!$C$3:$C$24,O199,'1. Points System'!$D$3:$D$24,P199))</f>
        <v/>
      </c>
      <c r="R199" s="21"/>
      <c r="S199" s="6" t="str">
        <f t="shared" si="41"/>
        <v/>
      </c>
      <c r="T199" s="20" t="e">
        <f t="shared" si="42"/>
        <v>#VALUE!</v>
      </c>
      <c r="U199" s="42" t="e">
        <f>MasterDataTbl[[#This Row],[2026 Total Points]]+(MasterDataTbl[[#This Row],[Goal Difference]]/1000)</f>
        <v>#VALUE!</v>
      </c>
    </row>
    <row r="200" spans="1:21" x14ac:dyDescent="0.25">
      <c r="A200" s="41"/>
      <c r="B200" s="16"/>
      <c r="C200" s="3"/>
      <c r="D200" s="3"/>
      <c r="E200" s="3"/>
      <c r="F200" s="26" t="str">
        <f t="shared" si="43"/>
        <v/>
      </c>
      <c r="G200" s="26" t="str">
        <f t="shared" si="44"/>
        <v/>
      </c>
      <c r="H200" s="25"/>
      <c r="I200" s="13"/>
      <c r="J200" s="2"/>
      <c r="K200" s="2"/>
      <c r="L200" s="2"/>
      <c r="M200" s="26"/>
      <c r="N200" s="3"/>
      <c r="O200" s="3"/>
      <c r="P200" s="3"/>
      <c r="Q200" s="10" t="str">
        <f>IF(OR(O200="",P200=""),"",SUMIFS('1. Points System'!$E$3:$E$24,'1. Points System'!$C$3:$C$24,O200,'1. Points System'!$D$3:$D$24,P200))</f>
        <v/>
      </c>
      <c r="R200" s="21"/>
      <c r="S200" s="6" t="str">
        <f t="shared" si="41"/>
        <v/>
      </c>
      <c r="T200" s="20" t="e">
        <f t="shared" si="42"/>
        <v>#VALUE!</v>
      </c>
      <c r="U200" s="42" t="e">
        <f>MasterDataTbl[[#This Row],[2026 Total Points]]+(MasterDataTbl[[#This Row],[Goal Difference]]/1000)</f>
        <v>#VALUE!</v>
      </c>
    </row>
    <row r="201" spans="1:21" x14ac:dyDescent="0.25">
      <c r="A201" s="41"/>
      <c r="B201" s="16"/>
      <c r="C201" s="3"/>
      <c r="D201" s="3"/>
      <c r="E201" s="3"/>
      <c r="F201" s="26" t="str">
        <f t="shared" si="43"/>
        <v/>
      </c>
      <c r="G201" s="26" t="str">
        <f t="shared" si="44"/>
        <v/>
      </c>
      <c r="H201" s="25"/>
      <c r="I201" s="13"/>
      <c r="J201" s="2"/>
      <c r="K201" s="2"/>
      <c r="L201" s="2"/>
      <c r="M201" s="26"/>
      <c r="N201" s="3"/>
      <c r="O201" s="3"/>
      <c r="P201" s="3"/>
      <c r="Q201" s="10" t="str">
        <f>IF(OR(O201="",P201=""),"",SUMIFS('1. Points System'!$E$3:$E$24,'1. Points System'!$C$3:$C$24,O201,'1. Points System'!$D$3:$D$24,P201))</f>
        <v/>
      </c>
      <c r="R201" s="21"/>
      <c r="S201" s="6" t="str">
        <f t="shared" si="41"/>
        <v/>
      </c>
      <c r="T201" s="20" t="e">
        <f t="shared" si="42"/>
        <v>#VALUE!</v>
      </c>
      <c r="U201" s="42" t="e">
        <f>MasterDataTbl[[#This Row],[2026 Total Points]]+(MasterDataTbl[[#This Row],[Goal Difference]]/1000)</f>
        <v>#VALUE!</v>
      </c>
    </row>
    <row r="202" spans="1:21" x14ac:dyDescent="0.25">
      <c r="A202" s="41"/>
      <c r="B202" s="16"/>
      <c r="C202" s="3"/>
      <c r="D202" s="3"/>
      <c r="E202" s="3"/>
      <c r="F202" s="26" t="str">
        <f t="shared" si="43"/>
        <v/>
      </c>
      <c r="G202" s="26" t="str">
        <f t="shared" si="44"/>
        <v/>
      </c>
      <c r="H202" s="25"/>
      <c r="I202" s="13"/>
      <c r="J202" s="2"/>
      <c r="K202" s="2"/>
      <c r="L202" s="2"/>
      <c r="M202" s="26"/>
      <c r="N202" s="3"/>
      <c r="O202" s="3"/>
      <c r="P202" s="3"/>
      <c r="Q202" s="10" t="str">
        <f>IF(OR(O202="",P202=""),"",SUMIFS('1. Points System'!$E$3:$E$24,'1. Points System'!$C$3:$C$24,O202,'1. Points System'!$D$3:$D$24,P202))</f>
        <v/>
      </c>
      <c r="R202" s="21"/>
      <c r="S202" s="6" t="str">
        <f t="shared" si="41"/>
        <v/>
      </c>
      <c r="T202" s="20" t="e">
        <f t="shared" si="42"/>
        <v>#VALUE!</v>
      </c>
      <c r="U202" s="42" t="e">
        <f>MasterDataTbl[[#This Row],[2026 Total Points]]+(MasterDataTbl[[#This Row],[Goal Difference]]/1000)</f>
        <v>#VALUE!</v>
      </c>
    </row>
    <row r="203" spans="1:21" x14ac:dyDescent="0.25">
      <c r="A203" s="41"/>
      <c r="B203" s="16"/>
      <c r="C203" s="3"/>
      <c r="D203" s="3"/>
      <c r="E203" s="3"/>
      <c r="F203" s="26" t="str">
        <f t="shared" si="43"/>
        <v/>
      </c>
      <c r="G203" s="26" t="str">
        <f t="shared" si="44"/>
        <v/>
      </c>
      <c r="H203" s="25"/>
      <c r="I203" s="13"/>
      <c r="J203" s="2"/>
      <c r="K203" s="2"/>
      <c r="L203" s="2"/>
      <c r="M203" s="26"/>
      <c r="N203" s="3"/>
      <c r="O203" s="3"/>
      <c r="P203" s="3"/>
      <c r="Q203" s="10" t="str">
        <f>IF(OR(O203="",P203=""),"",SUMIFS('1. Points System'!$E$3:$E$24,'1. Points System'!$C$3:$C$24,O203,'1. Points System'!$D$3:$D$24,P203))</f>
        <v/>
      </c>
      <c r="R203" s="21"/>
      <c r="S203" s="6" t="str">
        <f t="shared" si="41"/>
        <v/>
      </c>
      <c r="T203" s="20" t="e">
        <f t="shared" si="42"/>
        <v>#VALUE!</v>
      </c>
      <c r="U203" s="42" t="e">
        <f>MasterDataTbl[[#This Row],[2026 Total Points]]+(MasterDataTbl[[#This Row],[Goal Difference]]/1000)</f>
        <v>#VALUE!</v>
      </c>
    </row>
    <row r="204" spans="1:21" x14ac:dyDescent="0.25">
      <c r="A204" s="41"/>
      <c r="B204" s="16"/>
      <c r="C204" s="3"/>
      <c r="D204" s="3"/>
      <c r="E204" s="3"/>
      <c r="F204" s="26" t="str">
        <f t="shared" si="43"/>
        <v/>
      </c>
      <c r="G204" s="26" t="str">
        <f t="shared" si="44"/>
        <v/>
      </c>
      <c r="H204" s="25"/>
      <c r="I204" s="13"/>
      <c r="J204" s="2"/>
      <c r="K204" s="2"/>
      <c r="L204" s="2"/>
      <c r="M204" s="26"/>
      <c r="N204" s="3"/>
      <c r="O204" s="3"/>
      <c r="P204" s="3"/>
      <c r="Q204" s="10" t="str">
        <f>IF(OR(O204="",P204=""),"",SUMIFS('1. Points System'!$E$3:$E$24,'1. Points System'!$C$3:$C$24,O204,'1. Points System'!$D$3:$D$24,P204))</f>
        <v/>
      </c>
      <c r="R204" s="21"/>
      <c r="S204" s="6" t="str">
        <f t="shared" si="41"/>
        <v/>
      </c>
      <c r="T204" s="20" t="e">
        <f t="shared" si="42"/>
        <v>#VALUE!</v>
      </c>
      <c r="U204" s="42" t="e">
        <f>MasterDataTbl[[#This Row],[2026 Total Points]]+(MasterDataTbl[[#This Row],[Goal Difference]]/1000)</f>
        <v>#VALUE!</v>
      </c>
    </row>
    <row r="205" spans="1:21" x14ac:dyDescent="0.25">
      <c r="A205" s="48"/>
      <c r="B205" s="49"/>
      <c r="C205" s="50"/>
      <c r="D205" s="50"/>
      <c r="E205" s="50"/>
      <c r="F205" s="26" t="str">
        <f t="shared" si="43"/>
        <v/>
      </c>
      <c r="G205" s="26" t="str">
        <f t="shared" si="44"/>
        <v/>
      </c>
      <c r="H205" s="25"/>
      <c r="I205" s="51"/>
      <c r="J205" s="2"/>
      <c r="K205" s="2"/>
      <c r="L205" s="2"/>
      <c r="M205" s="26"/>
      <c r="N205" s="22"/>
      <c r="O205" s="50"/>
      <c r="P205" s="50"/>
      <c r="Q205" s="10" t="str">
        <f>IF(OR(O205="",P205=""),"",SUMIFS('1. Points System'!$E$3:$E$24,'1. Points System'!$C$3:$C$24,O205,'1. Points System'!$D$3:$D$24,P205))</f>
        <v/>
      </c>
      <c r="R205" s="52"/>
      <c r="S205" s="53" t="str">
        <f t="shared" si="41"/>
        <v/>
      </c>
      <c r="T205" s="54" t="e">
        <f t="shared" si="42"/>
        <v>#VALUE!</v>
      </c>
      <c r="U205" s="55" t="e">
        <f>MasterDataTbl[[#This Row],[2026 Total Points]]+(MasterDataTbl[[#This Row],[Goal Difference]]/1000)</f>
        <v>#VALUE!</v>
      </c>
    </row>
  </sheetData>
  <phoneticPr fontId="4" type="noConversion"/>
  <dataValidations count="1">
    <dataValidation type="list" allowBlank="1" showInputMessage="1" showErrorMessage="1" sqref="P3:P26" xr:uid="{AD060659-16C1-4FA5-A823-38C8E1DBB209}">
      <formula1>"Win, Draw, Loss"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31AC73-B748-4AED-8295-EBB364A2EEC4}">
          <x14:formula1>
            <xm:f>'Drop Down Lists'!$B$2:$B$11</xm:f>
          </x14:formula1>
          <xm:sqref>O3:O204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418C-1E10-4A66-9BDF-E4C59AF74DEA}">
  <dimension ref="A6:B11"/>
  <sheetViews>
    <sheetView workbookViewId="0">
      <selection activeCell="F13" sqref="F13"/>
    </sheetView>
  </sheetViews>
  <sheetFormatPr defaultRowHeight="15" x14ac:dyDescent="0.25"/>
  <cols>
    <col min="2" max="2" width="65.28515625" bestFit="1" customWidth="1"/>
  </cols>
  <sheetData>
    <row r="6" spans="1:2" x14ac:dyDescent="0.25">
      <c r="B6" t="s">
        <v>72</v>
      </c>
    </row>
    <row r="8" spans="1:2" x14ac:dyDescent="0.25">
      <c r="A8">
        <v>1</v>
      </c>
      <c r="B8" t="s">
        <v>74</v>
      </c>
    </row>
    <row r="9" spans="1:2" x14ac:dyDescent="0.25">
      <c r="A9">
        <v>2</v>
      </c>
      <c r="B9" t="s">
        <v>75</v>
      </c>
    </row>
    <row r="10" spans="1:2" x14ac:dyDescent="0.25">
      <c r="A10">
        <v>3</v>
      </c>
      <c r="B10" t="s">
        <v>78</v>
      </c>
    </row>
    <row r="11" spans="1:2" x14ac:dyDescent="0.25">
      <c r="A11">
        <v>4</v>
      </c>
      <c r="B11" t="s">
        <v>96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F092-3945-44FF-81C9-2BC4CCA7F11E}">
  <dimension ref="B2:B11"/>
  <sheetViews>
    <sheetView topLeftCell="B1" workbookViewId="0">
      <selection activeCell="B7" sqref="B7"/>
    </sheetView>
  </sheetViews>
  <sheetFormatPr defaultRowHeight="15" x14ac:dyDescent="0.25"/>
  <cols>
    <col min="2" max="2" width="40.28515625" bestFit="1" customWidth="1"/>
  </cols>
  <sheetData>
    <row r="2" spans="2:2" x14ac:dyDescent="0.25">
      <c r="B2" s="12" t="s">
        <v>9</v>
      </c>
    </row>
    <row r="3" spans="2:2" x14ac:dyDescent="0.25">
      <c r="B3" s="12" t="s">
        <v>7</v>
      </c>
    </row>
    <row r="4" spans="2:2" x14ac:dyDescent="0.25">
      <c r="B4" s="12" t="s">
        <v>13</v>
      </c>
    </row>
    <row r="5" spans="2:2" x14ac:dyDescent="0.25">
      <c r="B5" s="12" t="s">
        <v>30</v>
      </c>
    </row>
    <row r="6" spans="2:2" x14ac:dyDescent="0.25">
      <c r="B6" s="12" t="s">
        <v>31</v>
      </c>
    </row>
    <row r="7" spans="2:2" x14ac:dyDescent="0.25">
      <c r="B7" s="12" t="s">
        <v>8</v>
      </c>
    </row>
    <row r="8" spans="2:2" x14ac:dyDescent="0.25">
      <c r="B8" s="12" t="s">
        <v>6</v>
      </c>
    </row>
    <row r="9" spans="2:2" x14ac:dyDescent="0.25">
      <c r="B9" s="12" t="s">
        <v>14</v>
      </c>
    </row>
    <row r="10" spans="2:2" x14ac:dyDescent="0.25">
      <c r="B10" s="12" t="s">
        <v>15</v>
      </c>
    </row>
    <row r="11" spans="2:2" x14ac:dyDescent="0.25">
      <c r="B11" s="12" t="s">
        <v>32</v>
      </c>
    </row>
  </sheetData>
  <sheetProtection algorithmName="SHA-512" hashValue="cd+sg5K1OvM3oLsa+0sh9Q8zp8iMPks/7Hz1mBOkosK5HVDuA0y1ea8aVRhSMKTXKG+yxHEeI979vBnAoyCYOg==" saltValue="6vEB5tlGvcp8GOT9wkH8d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Points System</vt:lpstr>
      <vt:lpstr>2. 2027 Season Ranking</vt:lpstr>
      <vt:lpstr>3. Points Awarded By Team</vt:lpstr>
      <vt:lpstr>Scoring_Goal Difference</vt:lpstr>
      <vt:lpstr>Naming Conventions</vt:lpstr>
      <vt:lpstr>4. Master Data</vt:lpstr>
      <vt:lpstr>Tasks</vt:lpstr>
      <vt:lpstr>Drop Down Lists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Emma</dc:creator>
  <cp:lastModifiedBy>Evans, Emma</cp:lastModifiedBy>
  <dcterms:created xsi:type="dcterms:W3CDTF">2026-05-05T10:45:30Z</dcterms:created>
  <dcterms:modified xsi:type="dcterms:W3CDTF">2026-09-22T20:42:55Z</dcterms:modified>
</cp:coreProperties>
</file>